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C:\Users\34 North\Desktop\"/>
    </mc:Choice>
  </mc:AlternateContent>
  <bookViews>
    <workbookView xWindow="0" yWindow="0" windowWidth="21045" windowHeight="11880"/>
  </bookViews>
  <sheets>
    <sheet name="20mm_EDSM" sheetId="1" r:id="rId1"/>
    <sheet name="Key" sheetId="2" r:id="rId2"/>
    <sheet name="20mm_EDSMGearTest" sheetId="3" r:id="rId3"/>
  </sheets>
  <definedNames>
    <definedName name="_xlnm._FilterDatabase" localSheetId="0" hidden="1">'20mm_EDSM'!$A$1:$W$174</definedName>
  </definedNames>
  <calcPr calcId="171027"/>
</workbook>
</file>

<file path=xl/calcChain.xml><?xml version="1.0" encoding="utf-8"?>
<calcChain xmlns="http://schemas.openxmlformats.org/spreadsheetml/2006/main">
  <c r="T174" i="1" l="1"/>
  <c r="S174" i="1"/>
  <c r="R174" i="1"/>
  <c r="Q174" i="1"/>
  <c r="P174" i="1"/>
  <c r="T173" i="1"/>
  <c r="S173" i="1"/>
  <c r="R173" i="1"/>
  <c r="Q173" i="1"/>
  <c r="P173" i="1"/>
  <c r="O173" i="1"/>
  <c r="T172" i="1"/>
  <c r="S172" i="1"/>
  <c r="R172" i="1"/>
  <c r="P172" i="1"/>
  <c r="Q172" i="1"/>
  <c r="T171" i="1"/>
  <c r="S171" i="1"/>
  <c r="R171" i="1"/>
  <c r="Q171" i="1"/>
  <c r="P171" i="1"/>
  <c r="O171" i="1"/>
  <c r="T170" i="1"/>
  <c r="S170" i="1"/>
  <c r="R170" i="1"/>
  <c r="Q170" i="1"/>
  <c r="P170" i="1"/>
  <c r="T169" i="1"/>
  <c r="S169" i="1"/>
  <c r="R169" i="1"/>
  <c r="Q169" i="1"/>
  <c r="P169" i="1"/>
  <c r="S168" i="1" l="1"/>
  <c r="R168" i="1"/>
  <c r="Q168" i="1"/>
  <c r="P168" i="1"/>
  <c r="S167" i="1"/>
  <c r="R167" i="1"/>
  <c r="Q167" i="1"/>
  <c r="P167" i="1"/>
  <c r="T166" i="1"/>
  <c r="R166" i="1"/>
  <c r="Q166" i="1"/>
  <c r="P166" i="1"/>
  <c r="T165" i="1"/>
  <c r="S165" i="1"/>
  <c r="R165" i="1"/>
  <c r="Q165" i="1"/>
  <c r="P165" i="1"/>
  <c r="T164" i="1"/>
  <c r="S164" i="1"/>
  <c r="R164" i="1"/>
  <c r="Q164" i="1"/>
  <c r="P164" i="1"/>
  <c r="T163" i="1"/>
  <c r="S163" i="1"/>
  <c r="R163" i="1"/>
  <c r="Q163" i="1"/>
  <c r="P163" i="1"/>
  <c r="T162" i="1" l="1"/>
  <c r="S162" i="1"/>
  <c r="R162" i="1"/>
  <c r="Q162" i="1"/>
  <c r="P162" i="1"/>
  <c r="T161" i="1"/>
  <c r="S161" i="1"/>
  <c r="R161" i="1"/>
  <c r="Q161" i="1"/>
  <c r="P161" i="1"/>
  <c r="T160" i="1"/>
  <c r="S160" i="1"/>
  <c r="R160" i="1"/>
  <c r="Q160" i="1"/>
  <c r="P160" i="1"/>
  <c r="O160" i="1"/>
  <c r="T159" i="1"/>
  <c r="S159" i="1"/>
  <c r="R159" i="1"/>
  <c r="Q159" i="1"/>
  <c r="P159" i="1"/>
  <c r="O159" i="1"/>
  <c r="T158" i="1"/>
  <c r="S158" i="1"/>
  <c r="R158" i="1"/>
  <c r="Q158" i="1"/>
  <c r="P158" i="1"/>
  <c r="O158" i="1"/>
  <c r="T157" i="1"/>
  <c r="S157" i="1"/>
  <c r="R157" i="1"/>
  <c r="Q157" i="1"/>
  <c r="P157" i="1"/>
  <c r="O157" i="1"/>
  <c r="T156" i="1" l="1"/>
  <c r="S156" i="1"/>
  <c r="R156" i="1"/>
  <c r="Q156" i="1"/>
  <c r="P156" i="1"/>
  <c r="T155" i="1"/>
  <c r="S155" i="1"/>
  <c r="R155" i="1"/>
  <c r="Q155" i="1"/>
  <c r="P155" i="1"/>
  <c r="T154" i="1"/>
  <c r="S154" i="1"/>
  <c r="R154" i="1"/>
  <c r="Q154" i="1"/>
  <c r="P154" i="1"/>
  <c r="S153" i="1"/>
  <c r="T153" i="1"/>
  <c r="R153" i="1"/>
  <c r="Q153" i="1"/>
  <c r="P153" i="1"/>
  <c r="T104" i="1" l="1"/>
  <c r="S104" i="1"/>
  <c r="T152" i="1"/>
  <c r="S152" i="1"/>
  <c r="R152" i="1"/>
  <c r="Q152" i="1"/>
  <c r="P152" i="1"/>
  <c r="T151" i="1"/>
  <c r="S151" i="1"/>
  <c r="R151" i="1"/>
  <c r="Q151" i="1"/>
  <c r="P151" i="1"/>
  <c r="S150" i="1"/>
  <c r="R150" i="1"/>
  <c r="P150" i="1"/>
  <c r="O150" i="1"/>
  <c r="S149" i="1"/>
  <c r="R149" i="1"/>
  <c r="P149" i="1"/>
  <c r="Q3" i="1" l="1"/>
  <c r="Q4" i="1"/>
  <c r="Q5" i="1"/>
  <c r="Q6" i="1"/>
  <c r="Q7" i="1"/>
  <c r="Q8" i="1"/>
  <c r="Q9" i="1"/>
  <c r="Q10" i="1"/>
  <c r="Q11" i="1"/>
  <c r="Q12" i="1"/>
  <c r="Q13" i="1"/>
  <c r="Q14" i="1"/>
  <c r="Q15" i="1"/>
  <c r="Q16" i="1"/>
  <c r="Q18" i="1"/>
  <c r="Q20" i="1"/>
  <c r="Q22" i="1"/>
  <c r="Q23" i="1"/>
  <c r="Q24" i="1"/>
  <c r="Q25" i="1"/>
  <c r="Q26" i="1"/>
  <c r="Q27" i="1"/>
  <c r="Q28" i="1"/>
  <c r="Q29" i="1"/>
  <c r="Q30" i="1"/>
  <c r="Q31" i="1"/>
  <c r="Q32" i="1"/>
  <c r="Q33" i="1"/>
  <c r="Q34" i="1"/>
  <c r="Q35" i="1"/>
  <c r="Q36" i="1"/>
  <c r="Q37" i="1"/>
  <c r="Q38" i="1"/>
  <c r="Q39" i="1"/>
  <c r="Q40" i="1"/>
  <c r="Q42" i="1"/>
  <c r="Q44" i="1"/>
  <c r="Q45" i="1"/>
  <c r="Q46" i="1"/>
  <c r="Q47" i="1"/>
  <c r="Q48" i="1"/>
  <c r="Q49" i="1"/>
  <c r="Q51" i="1"/>
  <c r="Q52" i="1"/>
  <c r="Q53" i="1"/>
  <c r="Q54" i="1"/>
  <c r="Q55" i="1"/>
  <c r="Q56" i="1"/>
  <c r="Q57" i="1"/>
  <c r="Q58" i="1"/>
  <c r="Q60" i="1"/>
  <c r="Q61" i="1"/>
  <c r="Q63" i="1"/>
  <c r="Q65" i="1"/>
  <c r="Q66" i="1"/>
  <c r="Q67" i="1"/>
  <c r="Q68" i="1"/>
  <c r="Q69" i="1"/>
  <c r="Q70" i="1"/>
  <c r="Q71" i="1"/>
  <c r="Q72" i="1"/>
  <c r="Q73" i="1"/>
  <c r="Q74" i="1"/>
  <c r="Q75" i="1"/>
  <c r="Q76" i="1"/>
  <c r="Q77" i="1"/>
  <c r="Q80" i="1"/>
  <c r="Q81" i="1"/>
  <c r="Q83" i="1"/>
  <c r="Q84" i="1"/>
  <c r="Q85" i="1"/>
  <c r="Q86" i="1"/>
  <c r="Q87" i="1"/>
  <c r="Q88" i="1"/>
  <c r="Q89" i="1"/>
  <c r="Q90" i="1"/>
  <c r="Q91" i="1"/>
  <c r="Q92" i="1"/>
  <c r="Q93" i="1"/>
  <c r="Q94" i="1"/>
  <c r="Q95" i="1"/>
  <c r="Q97" i="1"/>
  <c r="Q99" i="1"/>
  <c r="Q101" i="1"/>
  <c r="Q102" i="1"/>
  <c r="Q103" i="1"/>
  <c r="P148" i="1" l="1"/>
  <c r="O148" i="1"/>
  <c r="P147" i="1"/>
  <c r="O147" i="1"/>
  <c r="Q146" i="1"/>
  <c r="P146" i="1"/>
  <c r="Q145" i="1"/>
  <c r="P145" i="1"/>
  <c r="Q144" i="1"/>
  <c r="P144" i="1"/>
  <c r="Q143" i="1"/>
  <c r="P143" i="1"/>
  <c r="O143" i="1"/>
  <c r="Q142" i="1"/>
  <c r="P142" i="1"/>
  <c r="O142" i="1"/>
  <c r="Q141" i="1"/>
  <c r="P141" i="1"/>
  <c r="O141" i="1"/>
  <c r="Q139" i="1" l="1"/>
  <c r="P139" i="1"/>
  <c r="O133" i="1"/>
  <c r="Q137" i="1" l="1"/>
  <c r="P137" i="1"/>
  <c r="Q136" i="1"/>
  <c r="P136" i="1"/>
  <c r="Q135" i="1"/>
  <c r="P135" i="1"/>
  <c r="Q134" i="1"/>
  <c r="P134" i="1"/>
  <c r="Q133" i="1"/>
  <c r="P133" i="1"/>
  <c r="O130" i="1"/>
  <c r="Q132" i="1" l="1"/>
  <c r="P132" i="1"/>
  <c r="Q131" i="1"/>
  <c r="P131" i="1"/>
  <c r="Q130" i="1"/>
  <c r="P130" i="1"/>
  <c r="Q127" i="1"/>
  <c r="P127" i="1"/>
  <c r="Q126" i="1"/>
  <c r="P126" i="1"/>
  <c r="Q125" i="1"/>
  <c r="P125" i="1"/>
  <c r="Q124" i="1" l="1"/>
  <c r="P124" i="1"/>
  <c r="O124" i="1"/>
  <c r="Q123" i="1"/>
  <c r="P123" i="1"/>
  <c r="Q121" i="1"/>
  <c r="P121" i="1"/>
  <c r="Q120" i="1"/>
  <c r="P120" i="1"/>
  <c r="Q119" i="1"/>
  <c r="P119" i="1"/>
  <c r="Q118" i="1"/>
  <c r="P118" i="1"/>
  <c r="O118" i="1"/>
  <c r="P117" i="1"/>
  <c r="P116" i="1"/>
  <c r="Q115" i="1" l="1"/>
  <c r="P115" i="1"/>
  <c r="Q114" i="1"/>
  <c r="P114" i="1"/>
  <c r="Q113" i="1"/>
  <c r="P113" i="1"/>
  <c r="Q112" i="1"/>
  <c r="P112" i="1"/>
  <c r="Q111" i="1"/>
  <c r="P111" i="1"/>
  <c r="Q110" i="1"/>
  <c r="P110" i="1"/>
  <c r="O110" i="1"/>
  <c r="Q106" i="1"/>
  <c r="P106" i="1"/>
  <c r="O106" i="1"/>
  <c r="Q109" i="1" l="1"/>
  <c r="P109" i="1"/>
  <c r="O109" i="1"/>
  <c r="Q108" i="1"/>
  <c r="P108" i="1"/>
  <c r="O108" i="1"/>
  <c r="Q107" i="1"/>
  <c r="P107" i="1"/>
  <c r="Q105" i="1"/>
  <c r="P105" i="1"/>
  <c r="Q104" i="1"/>
  <c r="P104" i="1"/>
  <c r="O104" i="1"/>
  <c r="P103" i="1" l="1"/>
  <c r="P102" i="1"/>
  <c r="P101" i="1"/>
  <c r="P99" i="1"/>
  <c r="P97" i="1"/>
  <c r="O97" i="1"/>
  <c r="P96" i="1"/>
  <c r="O96" i="1"/>
  <c r="P95" i="1"/>
  <c r="P94" i="1" l="1"/>
  <c r="O94" i="1"/>
  <c r="P93" i="1"/>
  <c r="O93" i="1"/>
  <c r="P92" i="1"/>
  <c r="P91" i="1"/>
  <c r="O91" i="1"/>
  <c r="P90" i="1"/>
  <c r="P89" i="1"/>
  <c r="P88" i="1" l="1"/>
  <c r="O88" i="1"/>
  <c r="P87" i="1"/>
  <c r="O87" i="1"/>
  <c r="O86" i="1"/>
  <c r="P86" i="1"/>
  <c r="P85" i="1"/>
  <c r="P84" i="1"/>
  <c r="O84" i="1"/>
  <c r="P83" i="1"/>
  <c r="P81" i="1" l="1"/>
  <c r="O81" i="1"/>
  <c r="P80" i="1"/>
  <c r="O80" i="1"/>
  <c r="P79" i="1"/>
  <c r="P78" i="1"/>
  <c r="P77" i="1"/>
  <c r="O77" i="1"/>
  <c r="P76" i="1"/>
  <c r="O76" i="1"/>
  <c r="P75" i="1"/>
  <c r="O75" i="1"/>
  <c r="P74" i="1"/>
  <c r="O74" i="1"/>
  <c r="P73" i="1" l="1"/>
  <c r="O73" i="1"/>
  <c r="P72" i="1"/>
  <c r="O72" i="1"/>
  <c r="O70" i="1"/>
  <c r="P71" i="1"/>
  <c r="P70" i="1"/>
  <c r="P69" i="1"/>
  <c r="O69" i="1"/>
  <c r="P68" i="1"/>
  <c r="P67" i="1"/>
  <c r="O68" i="1"/>
  <c r="O67" i="1"/>
  <c r="O66" i="1"/>
  <c r="P66" i="1" l="1"/>
  <c r="P65" i="1"/>
  <c r="O64" i="1"/>
  <c r="P63" i="1"/>
  <c r="P62" i="1" l="1"/>
  <c r="O62" i="1"/>
  <c r="P61" i="1"/>
  <c r="P60" i="1"/>
  <c r="P59" i="1"/>
  <c r="P58" i="1"/>
  <c r="P57" i="1"/>
  <c r="P56" i="1" l="1"/>
  <c r="P55" i="1" l="1"/>
  <c r="P54" i="1"/>
  <c r="P53" i="1"/>
  <c r="P49" i="1" l="1"/>
  <c r="P52" i="1" l="1"/>
  <c r="P51" i="1"/>
  <c r="P48" i="1"/>
  <c r="P47" i="1" l="1"/>
  <c r="P46" i="1"/>
  <c r="P45" i="1"/>
  <c r="P44" i="1"/>
  <c r="P41" i="1" l="1"/>
  <c r="P42" i="1"/>
  <c r="P40" i="1"/>
  <c r="P39" i="1"/>
  <c r="P38" i="1"/>
  <c r="P37" i="1"/>
  <c r="P36" i="1" l="1"/>
  <c r="P35" i="1" l="1"/>
  <c r="P34" i="1"/>
  <c r="P33" i="1"/>
  <c r="P32" i="1"/>
  <c r="O32" i="1"/>
  <c r="P31" i="1"/>
  <c r="P30" i="1" l="1"/>
  <c r="P29" i="1"/>
  <c r="P28" i="1"/>
  <c r="P27" i="1"/>
  <c r="P26" i="1"/>
  <c r="P25" i="1"/>
  <c r="P24" i="1"/>
  <c r="P23" i="1" l="1"/>
  <c r="P22" i="1"/>
  <c r="P21" i="1"/>
  <c r="P20" i="1"/>
  <c r="P19" i="1"/>
  <c r="P18" i="1"/>
  <c r="P16" i="1" l="1"/>
  <c r="P15" i="1"/>
  <c r="P14" i="1"/>
  <c r="P13" i="1"/>
  <c r="Q21" i="3" l="1"/>
  <c r="P21" i="3"/>
  <c r="Q20" i="3"/>
  <c r="P20" i="3"/>
  <c r="Q19" i="3"/>
  <c r="P19" i="3"/>
  <c r="Q18" i="3"/>
  <c r="P18" i="3"/>
  <c r="O18" i="3"/>
  <c r="Q16" i="3"/>
  <c r="P16" i="3"/>
  <c r="O16" i="3"/>
  <c r="Q15" i="3"/>
  <c r="P15" i="3"/>
  <c r="O15" i="3"/>
  <c r="Q14" i="3"/>
  <c r="P14" i="3"/>
  <c r="Q13" i="3"/>
  <c r="P13" i="3"/>
  <c r="Q12" i="3"/>
  <c r="P12" i="3"/>
  <c r="Q11" i="3"/>
  <c r="P11" i="3"/>
  <c r="Q10" i="3"/>
  <c r="P10" i="3"/>
  <c r="Q9" i="3"/>
  <c r="P9" i="3"/>
  <c r="Q8" i="3"/>
  <c r="P8" i="3"/>
  <c r="O8" i="3"/>
  <c r="Q7" i="3"/>
  <c r="P7" i="3"/>
  <c r="Q6" i="3"/>
  <c r="P6" i="3"/>
  <c r="O6" i="3"/>
  <c r="Q5" i="3"/>
  <c r="P5" i="3"/>
  <c r="Q4" i="3"/>
  <c r="P4" i="3"/>
  <c r="Q3" i="3"/>
  <c r="P3" i="3"/>
  <c r="P12" i="1"/>
  <c r="P11" i="1"/>
  <c r="P10" i="1"/>
  <c r="P9" i="1"/>
  <c r="P8" i="1"/>
  <c r="P7" i="1"/>
  <c r="P6" i="1"/>
  <c r="P5" i="1" l="1"/>
  <c r="P4" i="1"/>
  <c r="P3" i="1"/>
</calcChain>
</file>

<file path=xl/sharedStrings.xml><?xml version="1.0" encoding="utf-8"?>
<sst xmlns="http://schemas.openxmlformats.org/spreadsheetml/2006/main" count="2368" uniqueCount="391">
  <si>
    <t>Stratum</t>
  </si>
  <si>
    <t>Region</t>
  </si>
  <si>
    <t>Sub-Region</t>
  </si>
  <si>
    <t>Date</t>
  </si>
  <si>
    <t>Method</t>
  </si>
  <si>
    <t>TowDuration</t>
  </si>
  <si>
    <t>TowDirection</t>
  </si>
  <si>
    <t>Species</t>
  </si>
  <si>
    <t>Catch</t>
  </si>
  <si>
    <t>Comments</t>
  </si>
  <si>
    <t>Start Longitude</t>
  </si>
  <si>
    <t>Start Latitude</t>
  </si>
  <si>
    <t>CHNS</t>
  </si>
  <si>
    <t>n/p</t>
  </si>
  <si>
    <t>DSM</t>
  </si>
  <si>
    <t>Station Code</t>
  </si>
  <si>
    <t>Time Start</t>
  </si>
  <si>
    <t>FL Range (mm)</t>
  </si>
  <si>
    <t>Number of Tows</t>
  </si>
  <si>
    <t>CHNF</t>
  </si>
  <si>
    <t>Description</t>
  </si>
  <si>
    <t>Good sample</t>
  </si>
  <si>
    <t>Fair sample, but sample compromised</t>
  </si>
  <si>
    <t>Poor sample, partial or total blockage</t>
  </si>
  <si>
    <t>No sample taken</t>
  </si>
  <si>
    <t>Sample curtailed due to sealion sighting</t>
  </si>
  <si>
    <t>Gear Condition Codes</t>
  </si>
  <si>
    <t>Common Names</t>
  </si>
  <si>
    <t>Organism Codes</t>
  </si>
  <si>
    <t>Chinook salmon (fall-run)</t>
  </si>
  <si>
    <t>Chinook salmon (spring-run)</t>
  </si>
  <si>
    <t>Chinook salmon (latefall-run)</t>
  </si>
  <si>
    <t>Chinook salmon (winter-run)</t>
  </si>
  <si>
    <t>Chinook salmon (adult)</t>
  </si>
  <si>
    <t>Chinook salmon (tagged)</t>
  </si>
  <si>
    <t>CHNL</t>
  </si>
  <si>
    <t>CHNW</t>
  </si>
  <si>
    <t>CHNA</t>
  </si>
  <si>
    <t>CHNT</t>
  </si>
  <si>
    <t>Chinook salmon (spray dyed)</t>
  </si>
  <si>
    <t>CHNE</t>
  </si>
  <si>
    <t>Steelhead (unmarked)</t>
  </si>
  <si>
    <t>Steelhead (ad-clipped)</t>
  </si>
  <si>
    <t>Longfin smelt</t>
  </si>
  <si>
    <t>Delta smelt</t>
  </si>
  <si>
    <t>LFS</t>
  </si>
  <si>
    <t>RBT</t>
  </si>
  <si>
    <t>RBTT</t>
  </si>
  <si>
    <t>GST</t>
  </si>
  <si>
    <t>Green sturgeon</t>
  </si>
  <si>
    <t>Expression Code</t>
  </si>
  <si>
    <t>E</t>
  </si>
  <si>
    <t>M</t>
  </si>
  <si>
    <t>X</t>
  </si>
  <si>
    <t>Eggs expressed</t>
  </si>
  <si>
    <t>Milt expressed</t>
  </si>
  <si>
    <t>No expression</t>
  </si>
  <si>
    <t>Stage Code</t>
  </si>
  <si>
    <t>not provided</t>
  </si>
  <si>
    <t>parr</t>
  </si>
  <si>
    <t>smolt</t>
  </si>
  <si>
    <t>adult</t>
  </si>
  <si>
    <t>fry</t>
  </si>
  <si>
    <t>silver parr</t>
  </si>
  <si>
    <t>sac fry</t>
  </si>
  <si>
    <t>no species of mgmt. concern</t>
  </si>
  <si>
    <t>Fish caught in wings of the net, not in the net's live box or cod end</t>
  </si>
  <si>
    <t>Tow Type</t>
  </si>
  <si>
    <t>PP201</t>
  </si>
  <si>
    <t>high.risk</t>
  </si>
  <si>
    <t>South</t>
  </si>
  <si>
    <t>20 mm</t>
  </si>
  <si>
    <t>Oblique</t>
  </si>
  <si>
    <t>U</t>
  </si>
  <si>
    <t>HC201</t>
  </si>
  <si>
    <t>Holland Cut</t>
  </si>
  <si>
    <t>shortened tows due to S curve in canal</t>
  </si>
  <si>
    <t>SJT201</t>
  </si>
  <si>
    <t>San Joaquin River near Twitchell Island</t>
  </si>
  <si>
    <t>low.risk.high.density</t>
  </si>
  <si>
    <r>
      <t>Average Top E/C (</t>
    </r>
    <r>
      <rPr>
        <sz val="11"/>
        <color theme="1"/>
        <rFont val="Calibri"/>
        <family val="2"/>
      </rPr>
      <t>µ</t>
    </r>
    <r>
      <rPr>
        <sz val="11"/>
        <color theme="1"/>
        <rFont val="Times New Roman"/>
        <family val="1"/>
      </rPr>
      <t>S)</t>
    </r>
  </si>
  <si>
    <r>
      <t>Average Bottom E/C (</t>
    </r>
    <r>
      <rPr>
        <sz val="11"/>
        <color theme="1"/>
        <rFont val="Calibri"/>
        <family val="2"/>
      </rPr>
      <t>µ</t>
    </r>
    <r>
      <rPr>
        <sz val="11"/>
        <color theme="1"/>
        <rFont val="Times New Roman"/>
        <family val="1"/>
      </rPr>
      <t>S)</t>
    </r>
  </si>
  <si>
    <t>SBM201</t>
  </si>
  <si>
    <t>West</t>
  </si>
  <si>
    <t>Mid Suisun Bay</t>
  </si>
  <si>
    <t>SM201</t>
  </si>
  <si>
    <t>Suisun Marsh</t>
  </si>
  <si>
    <t>LSJ201</t>
  </si>
  <si>
    <t>Lower San Joaquin</t>
  </si>
  <si>
    <t>RS201</t>
  </si>
  <si>
    <t>Rock Slough and Discovery Bay</t>
  </si>
  <si>
    <t>On second tow, net was pulled in 30 seconds late (at 10.5 minutes)</t>
  </si>
  <si>
    <t>DS201</t>
  </si>
  <si>
    <t>Disappointment Slough</t>
  </si>
  <si>
    <t>D</t>
  </si>
  <si>
    <t>MR201</t>
  </si>
  <si>
    <t>Middle River</t>
  </si>
  <si>
    <t>HB201</t>
  </si>
  <si>
    <t>Honker Bay</t>
  </si>
  <si>
    <t>SBM202</t>
  </si>
  <si>
    <t>Western low.risk.low.density</t>
  </si>
  <si>
    <t>SPE201</t>
  </si>
  <si>
    <t>Far West</t>
  </si>
  <si>
    <t>CQS201</t>
  </si>
  <si>
    <t>East San Pablo Bay</t>
  </si>
  <si>
    <t>Carquinez Strait</t>
  </si>
  <si>
    <t>Yolk</t>
  </si>
  <si>
    <t>A</t>
  </si>
  <si>
    <t>P</t>
  </si>
  <si>
    <t>Y</t>
  </si>
  <si>
    <t>S</t>
  </si>
  <si>
    <t>NC</t>
  </si>
  <si>
    <t>Absent</t>
  </si>
  <si>
    <t>Present</t>
  </si>
  <si>
    <t>Yellow</t>
  </si>
  <si>
    <t>Silver</t>
  </si>
  <si>
    <t>No color</t>
  </si>
  <si>
    <t>SPE202</t>
  </si>
  <si>
    <t>13.2-28</t>
  </si>
  <si>
    <t>SRU201</t>
  </si>
  <si>
    <t>North</t>
  </si>
  <si>
    <t>Upper Sacramento River</t>
  </si>
  <si>
    <t>SPE203</t>
  </si>
  <si>
    <t>SRU202</t>
  </si>
  <si>
    <t>Eastern low.risk.low.density</t>
  </si>
  <si>
    <t>First tow was 10 minutes, second and third tows were 2.5 minutes; three tows completed because first tow had sled issue</t>
  </si>
  <si>
    <t>MKR201</t>
  </si>
  <si>
    <t>North and South Forks Mokelumne River</t>
  </si>
  <si>
    <t>MKR202</t>
  </si>
  <si>
    <t>Ended tow early because hit bottom and net frame bent</t>
  </si>
  <si>
    <t>SBW201</t>
  </si>
  <si>
    <t>West Suisun Bay</t>
  </si>
  <si>
    <t>LNR201</t>
  </si>
  <si>
    <t>Lower Napa River</t>
  </si>
  <si>
    <t>11.1-31.0</t>
  </si>
  <si>
    <t>22.5-40.0</t>
  </si>
  <si>
    <t>Average Starting Bottom Depth (ft)</t>
  </si>
  <si>
    <t>First sample was 10 minutes long and was compromised. 2nd and 3rd tows were shortened to 5 min</t>
  </si>
  <si>
    <t>SJT202</t>
  </si>
  <si>
    <t>PP202</t>
  </si>
  <si>
    <t>San Joaquin River at Prisoners Point</t>
  </si>
  <si>
    <t>MI201</t>
  </si>
  <si>
    <t>Mildred Island</t>
  </si>
  <si>
    <t>Tow 1 was 10 minutes long, tow 2 was 5 minutes long</t>
  </si>
  <si>
    <t>LSR201</t>
  </si>
  <si>
    <t>Lower Sacramento River</t>
  </si>
  <si>
    <t>RV201</t>
  </si>
  <si>
    <t>Sacramento River near Rio Vista</t>
  </si>
  <si>
    <t>SBM203</t>
  </si>
  <si>
    <t>MI202</t>
  </si>
  <si>
    <t xml:space="preserve">Note: Gear testing at reduced effort, in areas of hypothesized low DSM abundance, occurred from 4/18 to 4/20 . Gear testing included tows with and without a cod end. Data from samples with cod end attached are listed below. Full effort project sampling began on 4/24/17 (see primary tab). Reports are based on data sheets that have not completed quality assurance and quality control procedures. Quality Assurance measures will be completed as soon as possible and subsequent reports will indicate any changes (errors) in red." </t>
  </si>
  <si>
    <t>FT202</t>
  </si>
  <si>
    <t>Franks Tract</t>
  </si>
  <si>
    <t>HC202</t>
  </si>
  <si>
    <t>First tow was 10.5 minutes long</t>
  </si>
  <si>
    <t>HB202</t>
  </si>
  <si>
    <t>Surface</t>
  </si>
  <si>
    <t>SW</t>
  </si>
  <si>
    <t>LSR202</t>
  </si>
  <si>
    <t>RV202</t>
  </si>
  <si>
    <t>MKR203</t>
  </si>
  <si>
    <t>On tow 1, net was pulled in 1.5 min early due to a loss in depth</t>
  </si>
  <si>
    <t>SRU203</t>
  </si>
  <si>
    <t>SBM204</t>
  </si>
  <si>
    <t>HB203</t>
  </si>
  <si>
    <t>LSJ203</t>
  </si>
  <si>
    <t>MI203</t>
  </si>
  <si>
    <t>VC201</t>
  </si>
  <si>
    <t>Victoria Canal</t>
  </si>
  <si>
    <t xml:space="preserve">Tow was was 5 minutes instead if 10 because site had fallen trees and a narrow trawl lane. Tow 2 was 10 min because tow 1 went well. </t>
  </si>
  <si>
    <t>RS202</t>
  </si>
  <si>
    <t>Rock Slough</t>
  </si>
  <si>
    <t xml:space="preserve">Tow two was shortened to 5 minutes </t>
  </si>
  <si>
    <t>PP203</t>
  </si>
  <si>
    <t>ID Status</t>
  </si>
  <si>
    <t>complete</t>
  </si>
  <si>
    <t>Complete</t>
  </si>
  <si>
    <t>Primary</t>
  </si>
  <si>
    <t>Secondary</t>
  </si>
  <si>
    <t>All levels of lab ID have been completed</t>
  </si>
  <si>
    <t>Report created after 1st ID (not final)</t>
  </si>
  <si>
    <t>Report created after 2nd ID (not final)</t>
  </si>
  <si>
    <t>10.4-19.5</t>
  </si>
  <si>
    <t>FT204</t>
  </si>
  <si>
    <t>PP204</t>
  </si>
  <si>
    <t>SRR201</t>
  </si>
  <si>
    <t>Sacramento River near Ryde</t>
  </si>
  <si>
    <t>SBM205</t>
  </si>
  <si>
    <t>CS201</t>
  </si>
  <si>
    <t>Cache Slough and Liberty Island</t>
  </si>
  <si>
    <t>9.3-22.8</t>
  </si>
  <si>
    <t>SM202</t>
  </si>
  <si>
    <t>SPE204</t>
  </si>
  <si>
    <t>13.4-43.0</t>
  </si>
  <si>
    <t>LNR202</t>
  </si>
  <si>
    <t>15.2-34.0</t>
  </si>
  <si>
    <t>SBW202</t>
  </si>
  <si>
    <t>MKR204</t>
  </si>
  <si>
    <t>SRU204</t>
  </si>
  <si>
    <t>10+</t>
  </si>
  <si>
    <t>MKR205</t>
  </si>
  <si>
    <t>MKR206</t>
  </si>
  <si>
    <t>SPE205</t>
  </si>
  <si>
    <t>CQS202</t>
  </si>
  <si>
    <t>20.1-41.0</t>
  </si>
  <si>
    <t>MKR207</t>
  </si>
  <si>
    <t>CS202</t>
  </si>
  <si>
    <t>LSJ204</t>
  </si>
  <si>
    <t>SBW203</t>
  </si>
  <si>
    <t>16.4-28.0</t>
  </si>
  <si>
    <t>16.5-27.0</t>
  </si>
  <si>
    <t>MR202</t>
  </si>
  <si>
    <t>DS202</t>
  </si>
  <si>
    <t>PP205</t>
  </si>
  <si>
    <t>MI204</t>
  </si>
  <si>
    <t>SJS201</t>
  </si>
  <si>
    <t>San Joaquin River near Stockton</t>
  </si>
  <si>
    <t>SJS202</t>
  </si>
  <si>
    <t>Code 2 on Tow 1: some debris in end of net before cod end jar</t>
  </si>
  <si>
    <t>RV203</t>
  </si>
  <si>
    <t>LSR203</t>
  </si>
  <si>
    <t>MRK208</t>
  </si>
  <si>
    <t>DW</t>
  </si>
  <si>
    <t>deep water (DW) or shallow water (SW)</t>
  </si>
  <si>
    <t>CQS203</t>
  </si>
  <si>
    <t>17.8-33</t>
  </si>
  <si>
    <t>A second tow was completed but was code 4: net and sled snagged so no sample taken</t>
  </si>
  <si>
    <t>SRU205</t>
  </si>
  <si>
    <t>Two tows were successfully completed at this station, a third tow (code 3) was attempted but redone because of large debris load</t>
  </si>
  <si>
    <t>SPE206</t>
  </si>
  <si>
    <t>21-38</t>
  </si>
  <si>
    <t xml:space="preserve"> paired with HB202 Surface SW sample</t>
  </si>
  <si>
    <t xml:space="preserve"> paired with LSR202 Surface SW sample</t>
  </si>
  <si>
    <t xml:space="preserve"> paired with RV202 Surface SW sample</t>
  </si>
  <si>
    <t xml:space="preserve"> paired with RV202 Oblique DW sample</t>
  </si>
  <si>
    <t>paired with MKR204 Surface SW sample</t>
  </si>
  <si>
    <t>paired with MKR204 Oblique DW sample</t>
  </si>
  <si>
    <t>paired with SRU204 Surface SW sample</t>
  </si>
  <si>
    <t xml:space="preserve"> paired with RV203 Surface SW sample</t>
  </si>
  <si>
    <t xml:space="preserve"> paired with LSR03 Oblique DW sample</t>
  </si>
  <si>
    <t xml:space="preserve"> paired with LSR03 Surface SW sample</t>
  </si>
  <si>
    <t>SJT203</t>
  </si>
  <si>
    <t>20mm</t>
  </si>
  <si>
    <t>SBW204</t>
  </si>
  <si>
    <t>HC203</t>
  </si>
  <si>
    <t>LSR204</t>
  </si>
  <si>
    <t>SBM206</t>
  </si>
  <si>
    <t>MI205</t>
  </si>
  <si>
    <t>HB204</t>
  </si>
  <si>
    <t>PP206</t>
  </si>
  <si>
    <t>VC202</t>
  </si>
  <si>
    <t>Grant Line Canal and Old River</t>
  </si>
  <si>
    <t>GL201</t>
  </si>
  <si>
    <t>LSR205</t>
  </si>
  <si>
    <t xml:space="preserve"> paired with LSR205 Oblique DW sample</t>
  </si>
  <si>
    <t>Towed across channel due to site location within Sherman lake, proceeded to travel upstream into main Sac River through break, paired with LSR205 Surface SW sample</t>
  </si>
  <si>
    <t>RV204</t>
  </si>
  <si>
    <t>paired with RV204 Surface SW sample</t>
  </si>
  <si>
    <t xml:space="preserve"> paired with RV204 Oblique DW sample</t>
  </si>
  <si>
    <t>Mid Suisun bay</t>
  </si>
  <si>
    <t>SBM207</t>
  </si>
  <si>
    <t>FT205</t>
  </si>
  <si>
    <t>Code 4: No sample taken, site too shallow; even during high tide</t>
  </si>
  <si>
    <t>On tow 2, net snagged after 1 min, restarted but tow cut short - to 5:45; paired with RV203 Oblique DW sample</t>
  </si>
  <si>
    <t>Tow shortened to 5 minutes because target depths were not present. No 2nd tow completed; paired with SRU204 Oblique DW sample</t>
  </si>
  <si>
    <t>Tow was cut short - ran aground. Sample not impacted, just cut short; paired with HB202 Oblique DW sample</t>
  </si>
  <si>
    <t>Tow 1 was code 3 - no sample collected because of total block of net with mud; paired with LSR202 Oblique DW sample</t>
  </si>
  <si>
    <t>OR201</t>
  </si>
  <si>
    <t>Old River</t>
  </si>
  <si>
    <t>FT206</t>
  </si>
  <si>
    <t>PP207</t>
  </si>
  <si>
    <t>sidescan/depth meter read error so towed in channel</t>
  </si>
  <si>
    <t>SPE207</t>
  </si>
  <si>
    <t>CQS205</t>
  </si>
  <si>
    <t>CQS204</t>
  </si>
  <si>
    <t>DS203</t>
  </si>
  <si>
    <t>SJT204</t>
  </si>
  <si>
    <t>CS203</t>
  </si>
  <si>
    <t>MI206</t>
  </si>
  <si>
    <t>LSR206</t>
  </si>
  <si>
    <t>HB205</t>
  </si>
  <si>
    <t>LSJ205</t>
  </si>
  <si>
    <t>Paired with LSJ205 Surface SW sample</t>
  </si>
  <si>
    <t>Paired with LSJ205 Oblique DW sample</t>
  </si>
  <si>
    <t>SBM208</t>
  </si>
  <si>
    <t>16-20</t>
  </si>
  <si>
    <t>Paired with SBM208 Surface SW sample; dragged bottom on tow 1 - wind and current pulled boat into shallow water. Changed tow schedule to avoid bottom on 2nd tow</t>
  </si>
  <si>
    <t>Paired with SBM2018 Oblique DW; Code 4: No sample taken, no shallow water habitat within 100 m of site</t>
  </si>
  <si>
    <t>HB206</t>
  </si>
  <si>
    <t>Paired with HB206 Surface SW sample</t>
  </si>
  <si>
    <t>Paired with HB206 Oblique DW; Code 4: No sample taken, no shallow water habitat within 100 m of site</t>
  </si>
  <si>
    <t>MKR210</t>
  </si>
  <si>
    <t>tow 2 ended after 9 min 49 sec due to sea lion</t>
  </si>
  <si>
    <t>SRU206</t>
  </si>
  <si>
    <t>SRU207</t>
  </si>
  <si>
    <t>SRU208</t>
  </si>
  <si>
    <t>MKR211</t>
  </si>
  <si>
    <t>CS204</t>
  </si>
  <si>
    <t>SBM209</t>
  </si>
  <si>
    <t>LSR207</t>
  </si>
  <si>
    <t>MKR212</t>
  </si>
  <si>
    <t>SJS203</t>
  </si>
  <si>
    <t>MI207</t>
  </si>
  <si>
    <t>PP208</t>
  </si>
  <si>
    <t>SBM210</t>
  </si>
  <si>
    <t>RV205</t>
  </si>
  <si>
    <t>LSR208</t>
  </si>
  <si>
    <t>FT207</t>
  </si>
  <si>
    <t>Paired with FT207 Oblique DW sample</t>
  </si>
  <si>
    <t>MI208</t>
  </si>
  <si>
    <t>Paired with MI208 Oblique DW sample</t>
  </si>
  <si>
    <t>Paired with FT207 Surface SW sample</t>
  </si>
  <si>
    <t>Paired with MI208 Surface SW sample</t>
  </si>
  <si>
    <t>VC203</t>
  </si>
  <si>
    <t>SBW205</t>
  </si>
  <si>
    <t>27-35.2</t>
  </si>
  <si>
    <t>CHNF measured in field and released: stage 5</t>
  </si>
  <si>
    <t>SPE208</t>
  </si>
  <si>
    <t>LNR203</t>
  </si>
  <si>
    <t>DSM measured in field and released: no expression</t>
  </si>
  <si>
    <t>PP209</t>
  </si>
  <si>
    <t>SJT205</t>
  </si>
  <si>
    <t>FT209</t>
  </si>
  <si>
    <t>SBW210</t>
  </si>
  <si>
    <t>Code 4: No sample taken, site within Mothball Fleet</t>
  </si>
  <si>
    <t>SBW206</t>
  </si>
  <si>
    <t>SPE210</t>
  </si>
  <si>
    <t>SPE209</t>
  </si>
  <si>
    <t>SBW209</t>
  </si>
  <si>
    <t>MI210</t>
  </si>
  <si>
    <t>MI209</t>
  </si>
  <si>
    <t>FT210</t>
  </si>
  <si>
    <t>SSC201</t>
  </si>
  <si>
    <t>Sacramento River Ship Channel</t>
  </si>
  <si>
    <t>LSJ206</t>
  </si>
  <si>
    <t>LSR209</t>
  </si>
  <si>
    <t>Code 4: No sample taken, site too shallow</t>
  </si>
  <si>
    <t>LSR210</t>
  </si>
  <si>
    <t>SBM211</t>
  </si>
  <si>
    <t>SBM212</t>
  </si>
  <si>
    <t>LSJ207</t>
  </si>
  <si>
    <t>CS205</t>
  </si>
  <si>
    <t>MKR213</t>
  </si>
  <si>
    <t>Paired with MKR213 Surface SW sample</t>
  </si>
  <si>
    <t>MKR214</t>
  </si>
  <si>
    <t>Paired with MKR214 Surface SW sample</t>
  </si>
  <si>
    <t>SRR202</t>
  </si>
  <si>
    <t>Paired with MKR213 Oblique DW sample</t>
  </si>
  <si>
    <t>paired with MKR214 Oblique DW sample</t>
  </si>
  <si>
    <t>Average Top Turbidity (NTU)</t>
  </si>
  <si>
    <t>Average Bottom Turbidity (NTU)</t>
  </si>
  <si>
    <t>Average Secchi (m)</t>
  </si>
  <si>
    <t>LSJ202</t>
  </si>
  <si>
    <t>MKR215</t>
  </si>
  <si>
    <t>paired with MKR215 Oblique DW sample</t>
  </si>
  <si>
    <t>Average Top E/C (µS)</t>
  </si>
  <si>
    <t>Average Bottom E/C (µS)</t>
  </si>
  <si>
    <t>MKR216</t>
  </si>
  <si>
    <t>paired with MKR216 Oblique DW sample</t>
  </si>
  <si>
    <t>LSR211</t>
  </si>
  <si>
    <t>5 min tows because of heavy vegetation</t>
  </si>
  <si>
    <t>HB207</t>
  </si>
  <si>
    <t>1st tow ended 1 min early</t>
  </si>
  <si>
    <t>RV206</t>
  </si>
  <si>
    <t>Paired with MKR215 Surface SW sample</t>
  </si>
  <si>
    <t>Paired with MKR216 Surface SW sample</t>
  </si>
  <si>
    <t>SRU209</t>
  </si>
  <si>
    <t>PP210</t>
  </si>
  <si>
    <t>SJS204</t>
  </si>
  <si>
    <t>SJS205</t>
  </si>
  <si>
    <t>LSR212</t>
  </si>
  <si>
    <t>HB208</t>
  </si>
  <si>
    <t>LSJ208</t>
  </si>
  <si>
    <t>MR203</t>
  </si>
  <si>
    <t>MI211</t>
  </si>
  <si>
    <t xml:space="preserve"> DW</t>
  </si>
  <si>
    <t>FT212</t>
  </si>
  <si>
    <t>SBW207</t>
  </si>
  <si>
    <t>26-27</t>
  </si>
  <si>
    <t>top turbidity measures not obtained</t>
  </si>
  <si>
    <t>SPE211</t>
  </si>
  <si>
    <t>bottom turbidity measures not obtained</t>
  </si>
  <si>
    <t>CQS206</t>
  </si>
  <si>
    <t>bottom turbidity measures not obtained; LFS caught measured in the field and released</t>
  </si>
  <si>
    <t>secondary</t>
  </si>
  <si>
    <t>SRR203</t>
  </si>
  <si>
    <t>SRU210</t>
  </si>
  <si>
    <t>MKR217</t>
  </si>
  <si>
    <t>SBW208</t>
  </si>
  <si>
    <t>CQS207</t>
  </si>
  <si>
    <t>SPE212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</si>
</sst>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0"/>
  </numFmts>
  <fonts count="12" x14ac:knownFonts="1">
    <font>
      <sz val="11"/>
      <color theme="1"/>
      <name val="Calibri"/>
      <family val="2"/>
      <scheme val="minor"/>
    </font>
    <font>
      <sz val="10"/>
      <color indexed="8"/>
      <name val="Arial"/>
      <family val="2"/>
    </font>
    <font>
      <b/>
      <sz val="11"/>
      <name val="Calibri"/>
      <family val="2"/>
      <scheme val="minor"/>
    </font>
    <font>
      <sz val="1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theme="1"/>
      <name val="Calibri"/>
      <family val="2"/>
    </font>
    <font>
      <sz val="11"/>
      <color rgb="FFFF0000"/>
      <name val="Times New Roman"/>
      <family val="1"/>
    </font>
    <font>
      <sz val="11"/>
      <name val="Times New Roman"/>
      <family val="1"/>
    </font>
    <font>
      <sz val="10"/>
      <color indexed="8"/>
      <name val="Arial"/>
      <family val="2"/>
    </font>
    <font>
      <sz val="11"/>
      <color indexed="8"/>
      <name val="Times New Roman"/>
      <family val="1"/>
    </font>
  </fonts>
  <fills count="6">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style="medium">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s>
  <cellStyleXfs count="4">
    <xf numFmtId="0" fontId="0" fillId="0" borderId="0"/>
    <xf numFmtId="0" fontId="1" fillId="0" borderId="0"/>
    <xf numFmtId="0" fontId="10" fillId="0" borderId="0"/>
    <xf numFmtId="0" fontId="1" fillId="0" borderId="0"/>
  </cellStyleXfs>
  <cellXfs count="62">
    <xf numFmtId="0" fontId="0" fillId="0" borderId="0" xfId="0"/>
    <xf numFmtId="0" fontId="0" fillId="0" borderId="0" xfId="0" applyAlignment="1">
      <alignment horizontal="center"/>
    </xf>
    <xf numFmtId="0" fontId="0" fillId="0" borderId="0" xfId="0" applyAlignment="1">
      <alignment horizontal="left"/>
    </xf>
    <xf numFmtId="0" fontId="0" fillId="2" borderId="0" xfId="0" applyFill="1"/>
    <xf numFmtId="0" fontId="2" fillId="3" borderId="0" xfId="0" applyFont="1" applyFill="1" applyAlignment="1">
      <alignment horizontal="center"/>
    </xf>
    <xf numFmtId="0" fontId="3" fillId="3" borderId="0" xfId="0" applyFont="1" applyFill="1"/>
    <xf numFmtId="0" fontId="4" fillId="0" borderId="0" xfId="0" applyFont="1" applyAlignment="1">
      <alignment horizontal="center"/>
    </xf>
    <xf numFmtId="0" fontId="5" fillId="0" borderId="0" xfId="0" applyFont="1" applyFill="1" applyAlignment="1">
      <alignment horizontal="left" vertical="center"/>
    </xf>
    <xf numFmtId="20" fontId="5" fillId="0" borderId="0" xfId="0" applyNumberFormat="1" applyFont="1" applyFill="1" applyAlignment="1">
      <alignment horizontal="center" vertical="center"/>
    </xf>
    <xf numFmtId="0" fontId="5" fillId="0" borderId="0" xfId="1" applyFont="1" applyFill="1" applyBorder="1" applyAlignment="1">
      <alignment horizontal="center" vertical="center"/>
    </xf>
    <xf numFmtId="14" fontId="5" fillId="0" borderId="2" xfId="1" applyNumberFormat="1" applyFont="1" applyFill="1" applyBorder="1" applyAlignment="1">
      <alignment horizontal="center" vertical="center" wrapText="1"/>
    </xf>
    <xf numFmtId="20" fontId="5" fillId="0"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0" xfId="1" applyFont="1" applyFill="1" applyAlignment="1">
      <alignment horizontal="center" vertical="center"/>
    </xf>
    <xf numFmtId="20" fontId="5" fillId="0" borderId="1" xfId="1" applyNumberFormat="1" applyFont="1" applyFill="1" applyBorder="1" applyAlignment="1">
      <alignment horizontal="center" vertical="center" wrapText="1"/>
    </xf>
    <xf numFmtId="0" fontId="5" fillId="0" borderId="0" xfId="1" applyFont="1" applyFill="1" applyBorder="1" applyAlignment="1">
      <alignment horizontal="center" vertical="center" wrapText="1"/>
    </xf>
    <xf numFmtId="14"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xf>
    <xf numFmtId="0" fontId="5" fillId="2" borderId="0" xfId="0" applyFont="1" applyFill="1" applyAlignment="1">
      <alignment horizontal="left" vertical="center"/>
    </xf>
    <xf numFmtId="0" fontId="6" fillId="2" borderId="0" xfId="0" applyFont="1" applyFill="1" applyAlignment="1">
      <alignment vertical="center"/>
    </xf>
    <xf numFmtId="0" fontId="5" fillId="2" borderId="0" xfId="0" applyFont="1" applyFill="1" applyAlignment="1">
      <alignment horizontal="center" vertical="center"/>
    </xf>
    <xf numFmtId="0" fontId="5" fillId="0" borderId="0" xfId="0" applyFont="1" applyFill="1" applyBorder="1" applyAlignment="1">
      <alignment horizontal="center" vertical="center"/>
    </xf>
    <xf numFmtId="14" fontId="5" fillId="4" borderId="2" xfId="1" applyNumberFormat="1" applyFont="1" applyFill="1" applyBorder="1" applyAlignment="1">
      <alignment horizontal="center" vertical="center" wrapText="1"/>
    </xf>
    <xf numFmtId="0" fontId="5" fillId="4" borderId="0" xfId="0" applyFont="1" applyFill="1" applyAlignment="1">
      <alignment horizontal="center" vertical="center"/>
    </xf>
    <xf numFmtId="20" fontId="5" fillId="4" borderId="2" xfId="1" applyNumberFormat="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4" borderId="0" xfId="1" applyFont="1" applyFill="1" applyAlignment="1">
      <alignment horizontal="center" vertical="center"/>
    </xf>
    <xf numFmtId="20" fontId="5" fillId="4" borderId="1" xfId="1" applyNumberFormat="1" applyFont="1" applyFill="1" applyBorder="1" applyAlignment="1">
      <alignment horizontal="center" vertical="center" wrapText="1"/>
    </xf>
    <xf numFmtId="0" fontId="5" fillId="4" borderId="0" xfId="0" applyFont="1" applyFill="1" applyAlignment="1">
      <alignment horizontal="left" vertical="center"/>
    </xf>
    <xf numFmtId="0" fontId="5" fillId="4" borderId="0" xfId="1" applyFont="1" applyFill="1" applyBorder="1" applyAlignment="1">
      <alignment horizontal="center" vertical="center" wrapText="1"/>
    </xf>
    <xf numFmtId="14" fontId="5" fillId="4" borderId="3" xfId="1" applyNumberFormat="1" applyFont="1" applyFill="1" applyBorder="1" applyAlignment="1">
      <alignment horizontal="center" vertical="center" wrapText="1"/>
    </xf>
    <xf numFmtId="0" fontId="5" fillId="4" borderId="4" xfId="0" applyFont="1" applyFill="1" applyBorder="1" applyAlignment="1">
      <alignment horizontal="center" vertical="center"/>
    </xf>
    <xf numFmtId="20" fontId="5" fillId="4" borderId="5" xfId="1" applyNumberFormat="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4"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center"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wrapText="1"/>
    </xf>
    <xf numFmtId="0" fontId="5" fillId="5" borderId="0" xfId="0" applyFont="1" applyFill="1" applyAlignment="1">
      <alignment horizontal="center" vertical="center"/>
    </xf>
    <xf numFmtId="0" fontId="5" fillId="5" borderId="0" xfId="1" applyFont="1" applyFill="1" applyBorder="1" applyAlignment="1">
      <alignment horizontal="center" vertical="center"/>
    </xf>
    <xf numFmtId="0" fontId="5" fillId="5" borderId="2"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9" fillId="0" borderId="0" xfId="0" applyFont="1" applyFill="1" applyAlignment="1">
      <alignment horizontal="left" vertical="center"/>
    </xf>
    <xf numFmtId="0" fontId="0" fillId="0" borderId="0" xfId="0"/>
    <xf numFmtId="0" fontId="11" fillId="4" borderId="1" xfId="2" applyFont="1" applyFill="1" applyBorder="1" applyAlignment="1">
      <alignment horizontal="center" vertical="center"/>
    </xf>
    <xf numFmtId="0" fontId="11" fillId="4" borderId="1" xfId="3" applyFont="1" applyFill="1" applyBorder="1" applyAlignment="1">
      <alignment horizontal="center" vertical="center"/>
    </xf>
    <xf numFmtId="165" fontId="11" fillId="4" borderId="1" xfId="3" applyNumberFormat="1" applyFont="1" applyFill="1" applyBorder="1" applyAlignment="1">
      <alignment horizontal="center" vertical="center"/>
    </xf>
    <xf numFmtId="0" fontId="9" fillId="4" borderId="1" xfId="1" applyFont="1" applyFill="1" applyBorder="1" applyAlignment="1">
      <alignment horizontal="center" vertical="center" wrapText="1"/>
    </xf>
    <xf numFmtId="0" fontId="9" fillId="4" borderId="0" xfId="1" applyFont="1" applyFill="1" applyAlignment="1">
      <alignment horizontal="center" vertical="center"/>
    </xf>
    <xf numFmtId="0" fontId="11" fillId="4" borderId="5" xfId="3" applyFont="1" applyFill="1" applyBorder="1" applyAlignment="1">
      <alignment horizontal="center" vertical="center"/>
    </xf>
    <xf numFmtId="0" fontId="11" fillId="0" borderId="1" xfId="2" applyFont="1" applyFill="1" applyBorder="1" applyAlignment="1">
      <alignment horizontal="center"/>
    </xf>
    <xf numFmtId="0" fontId="11" fillId="0" borderId="0" xfId="2" applyFont="1" applyAlignment="1">
      <alignment horizontal="center"/>
    </xf>
    <xf numFmtId="165" fontId="11" fillId="0" borderId="1" xfId="2" applyNumberFormat="1" applyFont="1" applyFill="1" applyBorder="1" applyAlignment="1">
      <alignment horizontal="center"/>
    </xf>
    <xf numFmtId="0" fontId="11" fillId="0" borderId="0" xfId="2" applyFont="1" applyFill="1" applyAlignment="1">
      <alignment horizontal="center"/>
    </xf>
    <xf numFmtId="2" fontId="5" fillId="0" borderId="2" xfId="1" applyNumberFormat="1" applyFont="1" applyFill="1" applyBorder="1" applyAlignment="1">
      <alignment horizontal="center" vertical="center" wrapText="1"/>
    </xf>
    <xf numFmtId="0" fontId="9" fillId="4" borderId="0" xfId="0" applyFont="1" applyFill="1" applyAlignment="1">
      <alignment horizontal="center" vertical="center"/>
    </xf>
    <xf numFmtId="0" fontId="8" fillId="0" borderId="0" xfId="1" applyFont="1" applyFill="1" applyBorder="1" applyAlignment="1">
      <alignment horizontal="center" vertical="center" wrapText="1"/>
    </xf>
  </cellXfs>
  <cellStyles count="4">
    <cellStyle name="Normal" xfId="0" builtinId="0"/>
    <cellStyle name="Normal_Jersey-Prisoner's Pt. Trawls" xfId="1"/>
    <cellStyle name="Normal_Sheet1" xfId="2"/>
    <cellStyle name="Normal_Sheet1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4"/>
  <sheetViews>
    <sheetView tabSelected="1" zoomScaleNormal="100" workbookViewId="0">
      <pane ySplit="1" topLeftCell="A159" activePane="bottomLeft" state="frozen"/>
      <selection pane="bottomLeft" activeCell="B171" sqref="B171"/>
    </sheetView>
  </sheetViews>
  <sheetFormatPr defaultColWidth="9.140625" defaultRowHeight="15" x14ac:dyDescent="0.25"/>
  <cols>
    <col min="1" max="1" width="10.7109375" style="40" customWidth="1"/>
    <col min="2" max="2" width="25.85546875" style="40" customWidth="1"/>
    <col min="3" max="4" width="15.7109375" style="40" customWidth="1"/>
    <col min="5" max="5" width="12.28515625" style="40" bestFit="1" customWidth="1"/>
    <col min="6" max="6" width="10.42578125" style="40" customWidth="1"/>
    <col min="7" max="7" width="43.7109375" style="40" customWidth="1"/>
    <col min="8" max="8" width="10.42578125" style="40" customWidth="1"/>
    <col min="9" max="9" width="8.140625" style="40" customWidth="1"/>
    <col min="10" max="10" width="9.7109375" style="40" bestFit="1" customWidth="1"/>
    <col min="11" max="11" width="7" style="43" customWidth="1"/>
    <col min="12" max="12" width="15.5703125" style="40" customWidth="1"/>
    <col min="13" max="13" width="13" style="40" customWidth="1"/>
    <col min="14" max="14" width="16" style="40" customWidth="1"/>
    <col min="15" max="15" width="31.7109375" style="40" customWidth="1"/>
    <col min="16" max="16" width="20.5703125" style="40" customWidth="1"/>
    <col min="17" max="17" width="23.5703125" style="40" customWidth="1"/>
    <col min="18" max="18" width="18.28515625" style="40" bestFit="1" customWidth="1"/>
    <col min="19" max="19" width="27.140625" style="40" bestFit="1" customWidth="1"/>
    <col min="20" max="20" width="30.140625" style="40" bestFit="1" customWidth="1"/>
    <col min="21" max="21" width="11.28515625" style="40" customWidth="1"/>
    <col min="22" max="22" width="10.5703125" style="40" customWidth="1"/>
    <col min="23" max="23" width="14.7109375" style="40" bestFit="1" customWidth="1"/>
    <col min="24" max="24" width="147.85546875" style="7" bestFit="1" customWidth="1"/>
    <col min="25" max="25" width="14.7109375" style="40" customWidth="1"/>
    <col min="26" max="16384" width="9.140625" style="40"/>
  </cols>
  <sheetData>
    <row r="1" spans="1:25" x14ac:dyDescent="0.25">
      <c r="A1" s="9" t="s">
        <v>3</v>
      </c>
      <c r="B1" s="40" t="s">
        <v>0</v>
      </c>
      <c r="C1" s="40" t="s">
        <v>11</v>
      </c>
      <c r="D1" s="40" t="s">
        <v>10</v>
      </c>
      <c r="E1" s="40" t="s">
        <v>15</v>
      </c>
      <c r="F1" s="40" t="s">
        <v>1</v>
      </c>
      <c r="G1" s="40" t="s">
        <v>2</v>
      </c>
      <c r="H1" s="9" t="s">
        <v>16</v>
      </c>
      <c r="I1" s="9" t="s">
        <v>4</v>
      </c>
      <c r="J1" s="9" t="s">
        <v>67</v>
      </c>
      <c r="K1" s="44" t="s">
        <v>223</v>
      </c>
      <c r="L1" s="9" t="s">
        <v>18</v>
      </c>
      <c r="M1" s="9" t="s">
        <v>5</v>
      </c>
      <c r="N1" s="9" t="s">
        <v>6</v>
      </c>
      <c r="O1" s="9" t="s">
        <v>136</v>
      </c>
      <c r="P1" s="9" t="s">
        <v>355</v>
      </c>
      <c r="Q1" s="9" t="s">
        <v>356</v>
      </c>
      <c r="R1" s="41" t="s">
        <v>351</v>
      </c>
      <c r="S1" s="41" t="s">
        <v>349</v>
      </c>
      <c r="T1" s="41" t="s">
        <v>350</v>
      </c>
      <c r="U1" s="9" t="s">
        <v>7</v>
      </c>
      <c r="V1" s="9" t="s">
        <v>8</v>
      </c>
      <c r="W1" s="9" t="s">
        <v>17</v>
      </c>
      <c r="X1" s="7" t="s">
        <v>9</v>
      </c>
      <c r="Y1" s="9" t="s">
        <v>174</v>
      </c>
    </row>
    <row r="2" spans="1:25" x14ac:dyDescent="0.25">
      <c r="A2" s="10">
        <v>42849</v>
      </c>
      <c r="B2" s="22" t="s">
        <v>124</v>
      </c>
      <c r="C2" s="22">
        <v>38.098950000000002</v>
      </c>
      <c r="D2" s="22">
        <v>-121.49413</v>
      </c>
      <c r="E2" s="22" t="s">
        <v>128</v>
      </c>
      <c r="F2" s="22" t="s">
        <v>70</v>
      </c>
      <c r="G2" s="40" t="s">
        <v>127</v>
      </c>
      <c r="H2" s="11">
        <v>0.33611111111111108</v>
      </c>
      <c r="I2" s="12" t="s">
        <v>71</v>
      </c>
      <c r="J2" s="12" t="s">
        <v>72</v>
      </c>
      <c r="K2" s="45" t="s">
        <v>222</v>
      </c>
      <c r="L2" s="12">
        <v>1</v>
      </c>
      <c r="M2" s="12">
        <v>6</v>
      </c>
      <c r="N2" s="12" t="s">
        <v>73</v>
      </c>
      <c r="O2" s="12">
        <v>20</v>
      </c>
      <c r="P2" s="12">
        <v>69</v>
      </c>
      <c r="Q2" s="12">
        <v>70.7</v>
      </c>
      <c r="R2" s="55">
        <v>1.79</v>
      </c>
      <c r="S2" s="55">
        <v>10.3</v>
      </c>
      <c r="T2" s="55">
        <v>15.1</v>
      </c>
      <c r="U2" s="13" t="s">
        <v>13</v>
      </c>
      <c r="V2" s="16">
        <v>0</v>
      </c>
      <c r="W2" s="16" t="s">
        <v>13</v>
      </c>
      <c r="X2" s="7" t="s">
        <v>129</v>
      </c>
      <c r="Y2" s="16" t="s">
        <v>175</v>
      </c>
    </row>
    <row r="3" spans="1:25" x14ac:dyDescent="0.25">
      <c r="A3" s="10">
        <v>42849</v>
      </c>
      <c r="B3" s="40" t="s">
        <v>100</v>
      </c>
      <c r="C3" s="40">
        <v>38.052019999999999</v>
      </c>
      <c r="D3" s="40">
        <v>-122.11282</v>
      </c>
      <c r="E3" s="40" t="s">
        <v>130</v>
      </c>
      <c r="F3" s="40" t="s">
        <v>102</v>
      </c>
      <c r="G3" s="40" t="s">
        <v>131</v>
      </c>
      <c r="H3" s="15">
        <v>0.37083333333333335</v>
      </c>
      <c r="I3" s="13" t="s">
        <v>71</v>
      </c>
      <c r="J3" s="13" t="s">
        <v>72</v>
      </c>
      <c r="K3" s="46" t="s">
        <v>222</v>
      </c>
      <c r="L3" s="13">
        <v>2</v>
      </c>
      <c r="M3" s="13">
        <v>10</v>
      </c>
      <c r="N3" s="13" t="s">
        <v>94</v>
      </c>
      <c r="O3" s="13">
        <v>33</v>
      </c>
      <c r="P3" s="12">
        <f>AVERAGE(92.2,93.3)</f>
        <v>92.75</v>
      </c>
      <c r="Q3" s="12">
        <f>AVERAGE(91.3,91.8)</f>
        <v>91.55</v>
      </c>
      <c r="R3" s="55">
        <v>0.47499999999999998</v>
      </c>
      <c r="S3" s="55">
        <v>34.299999999999997</v>
      </c>
      <c r="T3" s="55">
        <v>37.1</v>
      </c>
      <c r="U3" s="13" t="s">
        <v>13</v>
      </c>
      <c r="V3" s="16">
        <v>0</v>
      </c>
      <c r="W3" s="16" t="s">
        <v>13</v>
      </c>
      <c r="Y3" s="16" t="s">
        <v>175</v>
      </c>
    </row>
    <row r="4" spans="1:25" x14ac:dyDescent="0.25">
      <c r="A4" s="10">
        <v>42849</v>
      </c>
      <c r="B4" s="40" t="s">
        <v>100</v>
      </c>
      <c r="C4" s="40">
        <v>38.159619999999997</v>
      </c>
      <c r="D4" s="40">
        <v>-122.29629</v>
      </c>
      <c r="E4" s="40" t="s">
        <v>132</v>
      </c>
      <c r="F4" s="40" t="s">
        <v>102</v>
      </c>
      <c r="G4" s="40" t="s">
        <v>133</v>
      </c>
      <c r="H4" s="15">
        <v>0.43611111111111112</v>
      </c>
      <c r="I4" s="13" t="s">
        <v>71</v>
      </c>
      <c r="J4" s="13" t="s">
        <v>72</v>
      </c>
      <c r="K4" s="46" t="s">
        <v>222</v>
      </c>
      <c r="L4" s="13">
        <v>2</v>
      </c>
      <c r="M4" s="13">
        <v>10</v>
      </c>
      <c r="N4" s="13" t="s">
        <v>73</v>
      </c>
      <c r="O4" s="13">
        <v>14</v>
      </c>
      <c r="P4" s="12">
        <f>AVERAGE(3400,3419)</f>
        <v>3409.5</v>
      </c>
      <c r="Q4" s="12">
        <f>AVERAGE(3400,3415)</f>
        <v>3407.5</v>
      </c>
      <c r="R4" s="55">
        <v>0.25</v>
      </c>
      <c r="S4" s="55">
        <v>91.05</v>
      </c>
      <c r="T4" s="55">
        <v>275</v>
      </c>
      <c r="U4" s="13" t="s">
        <v>45</v>
      </c>
      <c r="V4" s="16">
        <v>101</v>
      </c>
      <c r="W4" s="16" t="s">
        <v>134</v>
      </c>
      <c r="Y4" s="16" t="s">
        <v>175</v>
      </c>
    </row>
    <row r="5" spans="1:25" x14ac:dyDescent="0.25">
      <c r="A5" s="10">
        <v>42849</v>
      </c>
      <c r="B5" s="40" t="s">
        <v>100</v>
      </c>
      <c r="C5" s="40">
        <v>38.050289999999997</v>
      </c>
      <c r="D5" s="40">
        <v>-122.268</v>
      </c>
      <c r="E5" s="40" t="s">
        <v>122</v>
      </c>
      <c r="F5" s="40" t="s">
        <v>102</v>
      </c>
      <c r="G5" s="40" t="s">
        <v>104</v>
      </c>
      <c r="H5" s="15">
        <v>0.50347222222222221</v>
      </c>
      <c r="I5" s="13" t="s">
        <v>71</v>
      </c>
      <c r="J5" s="13" t="s">
        <v>72</v>
      </c>
      <c r="K5" s="46" t="s">
        <v>222</v>
      </c>
      <c r="L5" s="13">
        <v>2</v>
      </c>
      <c r="M5" s="13">
        <v>10</v>
      </c>
      <c r="N5" s="13" t="s">
        <v>94</v>
      </c>
      <c r="O5" s="13">
        <v>13</v>
      </c>
      <c r="P5" s="12">
        <f>AVERAGE(6115,3448)</f>
        <v>4781.5</v>
      </c>
      <c r="Q5" s="12">
        <f>AVERAGE(7252,7252)</f>
        <v>7252</v>
      </c>
      <c r="R5" s="55">
        <v>0.32499999999999996</v>
      </c>
      <c r="S5" s="55">
        <v>89.550000000000011</v>
      </c>
      <c r="T5" s="55">
        <v>198.5</v>
      </c>
      <c r="U5" s="13" t="s">
        <v>45</v>
      </c>
      <c r="V5" s="16">
        <v>3</v>
      </c>
      <c r="W5" s="16" t="s">
        <v>135</v>
      </c>
      <c r="Y5" s="16" t="s">
        <v>175</v>
      </c>
    </row>
    <row r="6" spans="1:25" x14ac:dyDescent="0.25">
      <c r="A6" s="10">
        <v>42850</v>
      </c>
      <c r="B6" s="40" t="s">
        <v>69</v>
      </c>
      <c r="C6" s="40">
        <v>38.091259999999998</v>
      </c>
      <c r="D6" s="40">
        <v>-121.63023</v>
      </c>
      <c r="E6" s="40" t="s">
        <v>138</v>
      </c>
      <c r="F6" s="40" t="s">
        <v>70</v>
      </c>
      <c r="G6" s="40" t="s">
        <v>78</v>
      </c>
      <c r="H6" s="15">
        <v>0.32083333333333336</v>
      </c>
      <c r="I6" s="13" t="s">
        <v>71</v>
      </c>
      <c r="J6" s="13" t="s">
        <v>72</v>
      </c>
      <c r="K6" s="46" t="s">
        <v>222</v>
      </c>
      <c r="L6" s="13">
        <v>2</v>
      </c>
      <c r="M6" s="13">
        <v>10</v>
      </c>
      <c r="N6" s="13" t="s">
        <v>73</v>
      </c>
      <c r="O6" s="13">
        <v>20</v>
      </c>
      <c r="P6" s="12">
        <f>AVERAGE(87.9,87.5)</f>
        <v>87.7</v>
      </c>
      <c r="Q6" s="12">
        <f>AVERAGE(88.4,91.3)</f>
        <v>89.85</v>
      </c>
      <c r="R6" s="55">
        <v>0.81</v>
      </c>
      <c r="S6" s="55">
        <v>17.45</v>
      </c>
      <c r="T6" s="55">
        <v>386</v>
      </c>
      <c r="U6" s="13" t="s">
        <v>13</v>
      </c>
      <c r="V6" s="16">
        <v>0</v>
      </c>
      <c r="W6" s="16" t="s">
        <v>13</v>
      </c>
      <c r="Y6" s="16" t="s">
        <v>175</v>
      </c>
    </row>
    <row r="7" spans="1:25" x14ac:dyDescent="0.25">
      <c r="A7" s="10">
        <v>42850</v>
      </c>
      <c r="B7" s="40" t="s">
        <v>69</v>
      </c>
      <c r="C7" s="40">
        <v>38.042299999999997</v>
      </c>
      <c r="D7" s="40">
        <v>-121.49732</v>
      </c>
      <c r="E7" s="40" t="s">
        <v>139</v>
      </c>
      <c r="F7" s="40" t="s">
        <v>70</v>
      </c>
      <c r="G7" s="40" t="s">
        <v>140</v>
      </c>
      <c r="H7" s="15">
        <v>0.38125000000000003</v>
      </c>
      <c r="I7" s="13" t="s">
        <v>71</v>
      </c>
      <c r="J7" s="13" t="s">
        <v>72</v>
      </c>
      <c r="K7" s="46" t="s">
        <v>222</v>
      </c>
      <c r="L7" s="13">
        <v>2</v>
      </c>
      <c r="M7" s="13">
        <v>10</v>
      </c>
      <c r="N7" s="13" t="s">
        <v>73</v>
      </c>
      <c r="O7" s="13">
        <v>30</v>
      </c>
      <c r="P7" s="12">
        <f>AVERAGE(99.5,97.6)</f>
        <v>98.55</v>
      </c>
      <c r="Q7" s="12">
        <f>AVERAGE(97.2,99.4)</f>
        <v>98.300000000000011</v>
      </c>
      <c r="R7" s="55">
        <v>1.115</v>
      </c>
      <c r="S7" s="55">
        <v>28.545000000000002</v>
      </c>
      <c r="T7" s="55">
        <v>24.75</v>
      </c>
      <c r="U7" s="13" t="s">
        <v>13</v>
      </c>
      <c r="V7" s="16">
        <v>0</v>
      </c>
      <c r="W7" s="16" t="s">
        <v>13</v>
      </c>
      <c r="Y7" s="16" t="s">
        <v>175</v>
      </c>
    </row>
    <row r="8" spans="1:25" x14ac:dyDescent="0.25">
      <c r="A8" s="10">
        <v>42850</v>
      </c>
      <c r="B8" s="40" t="s">
        <v>69</v>
      </c>
      <c r="C8" s="40">
        <v>37.985999999999997</v>
      </c>
      <c r="D8" s="40">
        <v>-121.51742</v>
      </c>
      <c r="E8" s="40" t="s">
        <v>141</v>
      </c>
      <c r="F8" s="40" t="s">
        <v>70</v>
      </c>
      <c r="G8" s="40" t="s">
        <v>142</v>
      </c>
      <c r="H8" s="15">
        <v>0.43472222222222223</v>
      </c>
      <c r="I8" s="13" t="s">
        <v>71</v>
      </c>
      <c r="J8" s="13" t="s">
        <v>72</v>
      </c>
      <c r="K8" s="46" t="s">
        <v>222</v>
      </c>
      <c r="L8" s="13">
        <v>2</v>
      </c>
      <c r="M8" s="13">
        <v>5</v>
      </c>
      <c r="N8" s="13" t="s">
        <v>94</v>
      </c>
      <c r="O8" s="13">
        <v>15</v>
      </c>
      <c r="P8" s="12">
        <f>AVERAGE(119.8,119.5)</f>
        <v>119.65</v>
      </c>
      <c r="Q8" s="12">
        <f>AVERAGE(119.6,113.7)</f>
        <v>116.65</v>
      </c>
      <c r="R8" s="55">
        <v>1.2450000000000001</v>
      </c>
      <c r="S8" s="55">
        <v>12.690000000000001</v>
      </c>
      <c r="T8" s="55">
        <v>405</v>
      </c>
      <c r="U8" s="13" t="s">
        <v>13</v>
      </c>
      <c r="V8" s="16">
        <v>0</v>
      </c>
      <c r="W8" s="16" t="s">
        <v>13</v>
      </c>
      <c r="X8" s="7" t="s">
        <v>143</v>
      </c>
      <c r="Y8" s="16" t="s">
        <v>175</v>
      </c>
    </row>
    <row r="9" spans="1:25" x14ac:dyDescent="0.25">
      <c r="A9" s="10">
        <v>42850</v>
      </c>
      <c r="B9" s="40" t="s">
        <v>79</v>
      </c>
      <c r="C9" s="40">
        <v>38.06109</v>
      </c>
      <c r="D9" s="40">
        <v>-121.80517</v>
      </c>
      <c r="E9" s="40" t="s">
        <v>144</v>
      </c>
      <c r="F9" s="40" t="s">
        <v>83</v>
      </c>
      <c r="G9" s="40" t="s">
        <v>145</v>
      </c>
      <c r="H9" s="15">
        <v>0.34513888888888888</v>
      </c>
      <c r="I9" s="13" t="s">
        <v>71</v>
      </c>
      <c r="J9" s="13" t="s">
        <v>72</v>
      </c>
      <c r="K9" s="46" t="s">
        <v>222</v>
      </c>
      <c r="L9" s="13">
        <v>2</v>
      </c>
      <c r="M9" s="13">
        <v>10</v>
      </c>
      <c r="N9" s="13" t="s">
        <v>73</v>
      </c>
      <c r="O9" s="13">
        <v>38</v>
      </c>
      <c r="P9" s="12">
        <f>AVERAGE(102.6,99.7)</f>
        <v>101.15</v>
      </c>
      <c r="Q9" s="12">
        <f>AVERAGE(105.2,99.6)</f>
        <v>102.4</v>
      </c>
      <c r="R9" s="55">
        <v>0.53499999999999992</v>
      </c>
      <c r="S9" s="55">
        <v>26.35</v>
      </c>
      <c r="T9" s="55">
        <v>27.700000000000003</v>
      </c>
      <c r="U9" s="13" t="s">
        <v>13</v>
      </c>
      <c r="V9" s="16">
        <v>0</v>
      </c>
      <c r="W9" s="16" t="s">
        <v>13</v>
      </c>
      <c r="Y9" s="16" t="s">
        <v>175</v>
      </c>
    </row>
    <row r="10" spans="1:25" x14ac:dyDescent="0.25">
      <c r="A10" s="10">
        <v>42850</v>
      </c>
      <c r="B10" s="40" t="s">
        <v>79</v>
      </c>
      <c r="C10" s="40">
        <v>38.13006</v>
      </c>
      <c r="D10" s="40">
        <v>-121.69696999999999</v>
      </c>
      <c r="E10" s="40" t="s">
        <v>146</v>
      </c>
      <c r="F10" s="40" t="s">
        <v>120</v>
      </c>
      <c r="G10" s="40" t="s">
        <v>147</v>
      </c>
      <c r="H10" s="15">
        <v>0.40347222222222223</v>
      </c>
      <c r="I10" s="13" t="s">
        <v>71</v>
      </c>
      <c r="J10" s="13" t="s">
        <v>72</v>
      </c>
      <c r="K10" s="46" t="s">
        <v>222</v>
      </c>
      <c r="L10" s="13">
        <v>2</v>
      </c>
      <c r="M10" s="13">
        <v>10</v>
      </c>
      <c r="N10" s="13" t="s">
        <v>73</v>
      </c>
      <c r="O10" s="13">
        <v>32</v>
      </c>
      <c r="P10" s="12">
        <f>AVERAGE(108.3,109.8)</f>
        <v>109.05</v>
      </c>
      <c r="Q10" s="12">
        <f>AVERAGE(107.7,109.8)</f>
        <v>108.75</v>
      </c>
      <c r="R10" s="55">
        <v>0.55000000000000004</v>
      </c>
      <c r="S10" s="55">
        <v>24.85</v>
      </c>
      <c r="T10" s="55">
        <v>26.95</v>
      </c>
      <c r="U10" s="13" t="s">
        <v>13</v>
      </c>
      <c r="V10" s="16">
        <v>0</v>
      </c>
      <c r="W10" s="16" t="s">
        <v>13</v>
      </c>
      <c r="Y10" s="16" t="s">
        <v>175</v>
      </c>
    </row>
    <row r="11" spans="1:25" x14ac:dyDescent="0.25">
      <c r="A11" s="10">
        <v>42850</v>
      </c>
      <c r="B11" s="40" t="s">
        <v>79</v>
      </c>
      <c r="C11" s="40">
        <v>38.06353</v>
      </c>
      <c r="D11" s="40">
        <v>-122.03334</v>
      </c>
      <c r="E11" s="40" t="s">
        <v>148</v>
      </c>
      <c r="F11" s="40" t="s">
        <v>83</v>
      </c>
      <c r="G11" s="40" t="s">
        <v>84</v>
      </c>
      <c r="H11" s="15">
        <v>0.4861111111111111</v>
      </c>
      <c r="I11" s="13" t="s">
        <v>71</v>
      </c>
      <c r="J11" s="13" t="s">
        <v>72</v>
      </c>
      <c r="K11" s="46" t="s">
        <v>222</v>
      </c>
      <c r="L11" s="13">
        <v>2</v>
      </c>
      <c r="M11" s="13">
        <v>10</v>
      </c>
      <c r="N11" s="13" t="s">
        <v>94</v>
      </c>
      <c r="O11" s="13">
        <v>33</v>
      </c>
      <c r="P11" s="12">
        <f>AVERAGE(97.4,98)</f>
        <v>97.7</v>
      </c>
      <c r="Q11" s="12">
        <f>AVERAGE(92.1,96.3)</f>
        <v>94.199999999999989</v>
      </c>
      <c r="R11" s="55">
        <v>0.56000000000000005</v>
      </c>
      <c r="S11" s="55">
        <v>20.350000000000001</v>
      </c>
      <c r="T11" s="55">
        <v>29.5</v>
      </c>
      <c r="U11" s="13" t="s">
        <v>13</v>
      </c>
      <c r="V11" s="16">
        <v>0</v>
      </c>
      <c r="W11" s="16" t="s">
        <v>13</v>
      </c>
      <c r="Y11" s="16" t="s">
        <v>175</v>
      </c>
    </row>
    <row r="12" spans="1:25" x14ac:dyDescent="0.25">
      <c r="A12" s="10">
        <v>42850</v>
      </c>
      <c r="B12" s="40" t="s">
        <v>79</v>
      </c>
      <c r="C12" s="40">
        <v>37.980930000000001</v>
      </c>
      <c r="D12" s="40">
        <v>-121.47490999999999</v>
      </c>
      <c r="E12" s="40" t="s">
        <v>149</v>
      </c>
      <c r="F12" s="40" t="s">
        <v>70</v>
      </c>
      <c r="G12" s="40" t="s">
        <v>142</v>
      </c>
      <c r="H12" s="15">
        <v>0.48541666666666666</v>
      </c>
      <c r="I12" s="13" t="s">
        <v>71</v>
      </c>
      <c r="J12" s="13" t="s">
        <v>72</v>
      </c>
      <c r="K12" s="46" t="s">
        <v>222</v>
      </c>
      <c r="L12" s="13">
        <v>2</v>
      </c>
      <c r="M12" s="13">
        <v>10</v>
      </c>
      <c r="N12" s="13" t="s">
        <v>73</v>
      </c>
      <c r="O12" s="13">
        <v>13.5</v>
      </c>
      <c r="P12" s="12">
        <f>AVERAGE(110.8,123.8)</f>
        <v>117.3</v>
      </c>
      <c r="Q12" s="12">
        <f>AVERAGE(107.6,117)</f>
        <v>112.3</v>
      </c>
      <c r="R12" s="55">
        <v>0.86</v>
      </c>
      <c r="S12" s="55">
        <v>96.45</v>
      </c>
      <c r="T12" s="55">
        <v>158.5</v>
      </c>
      <c r="U12" s="13" t="s">
        <v>13</v>
      </c>
      <c r="V12" s="16">
        <v>0</v>
      </c>
      <c r="W12" s="16" t="s">
        <v>13</v>
      </c>
      <c r="Y12" s="16" t="s">
        <v>175</v>
      </c>
    </row>
    <row r="13" spans="1:25" x14ac:dyDescent="0.25">
      <c r="A13" s="10">
        <v>42851</v>
      </c>
      <c r="B13" s="40" t="s">
        <v>69</v>
      </c>
      <c r="C13" s="40">
        <v>38.030630000000002</v>
      </c>
      <c r="D13" s="40">
        <v>-121.67059</v>
      </c>
      <c r="E13" s="40" t="s">
        <v>151</v>
      </c>
      <c r="F13" s="40" t="s">
        <v>70</v>
      </c>
      <c r="G13" s="40" t="s">
        <v>152</v>
      </c>
      <c r="H13" s="15">
        <v>0.34722222222222227</v>
      </c>
      <c r="I13" s="13" t="s">
        <v>71</v>
      </c>
      <c r="J13" s="13" t="s">
        <v>72</v>
      </c>
      <c r="K13" s="46" t="s">
        <v>222</v>
      </c>
      <c r="L13" s="13">
        <v>2</v>
      </c>
      <c r="M13" s="13">
        <v>5</v>
      </c>
      <c r="N13" s="13" t="s">
        <v>73</v>
      </c>
      <c r="O13" s="13">
        <v>15</v>
      </c>
      <c r="P13" s="12">
        <f>AVERAGE(395.8,413.2)</f>
        <v>404.5</v>
      </c>
      <c r="Q13" s="12">
        <f>AVERAGE(446.7,445.4)</f>
        <v>446.04999999999995</v>
      </c>
      <c r="R13" s="55">
        <v>1.95</v>
      </c>
      <c r="S13" s="55">
        <v>2.2450000000000001</v>
      </c>
      <c r="T13" s="55">
        <v>2.895</v>
      </c>
      <c r="U13" s="13" t="s">
        <v>13</v>
      </c>
      <c r="V13" s="16">
        <v>0</v>
      </c>
      <c r="W13" s="16" t="s">
        <v>13</v>
      </c>
      <c r="Y13" s="16" t="s">
        <v>175</v>
      </c>
    </row>
    <row r="14" spans="1:25" x14ac:dyDescent="0.25">
      <c r="A14" s="10">
        <v>42851</v>
      </c>
      <c r="B14" s="40" t="s">
        <v>69</v>
      </c>
      <c r="C14" s="40">
        <v>38.023490000000002</v>
      </c>
      <c r="D14" s="40">
        <v>-121.58103</v>
      </c>
      <c r="E14" s="40" t="s">
        <v>153</v>
      </c>
      <c r="F14" s="40" t="s">
        <v>70</v>
      </c>
      <c r="G14" s="40" t="s">
        <v>75</v>
      </c>
      <c r="H14" s="15">
        <v>0.41666666666666669</v>
      </c>
      <c r="I14" s="13" t="s">
        <v>71</v>
      </c>
      <c r="J14" s="13" t="s">
        <v>72</v>
      </c>
      <c r="K14" s="46" t="s">
        <v>222</v>
      </c>
      <c r="L14" s="13">
        <v>2</v>
      </c>
      <c r="M14" s="13">
        <v>10</v>
      </c>
      <c r="N14" s="13" t="s">
        <v>73</v>
      </c>
      <c r="O14" s="13">
        <v>17.5</v>
      </c>
      <c r="P14" s="12">
        <f>AVERAGE(120.1,120.1)</f>
        <v>120.1</v>
      </c>
      <c r="Q14" s="12">
        <f>AVERAGE(120.5,120.2)</f>
        <v>120.35</v>
      </c>
      <c r="R14" s="55">
        <v>0.91999999999999993</v>
      </c>
      <c r="S14" s="55">
        <v>10.105</v>
      </c>
      <c r="T14" s="55">
        <v>27.1</v>
      </c>
      <c r="U14" s="13" t="s">
        <v>13</v>
      </c>
      <c r="V14" s="16">
        <v>0</v>
      </c>
      <c r="W14" s="16" t="s">
        <v>13</v>
      </c>
      <c r="X14" s="7" t="s">
        <v>154</v>
      </c>
      <c r="Y14" s="16" t="s">
        <v>175</v>
      </c>
    </row>
    <row r="15" spans="1:25" x14ac:dyDescent="0.25">
      <c r="A15" s="10">
        <v>42851</v>
      </c>
      <c r="B15" s="40" t="s">
        <v>124</v>
      </c>
      <c r="C15" s="40">
        <v>38.096890000000002</v>
      </c>
      <c r="D15" s="40">
        <v>-121.4958</v>
      </c>
      <c r="E15" s="40" t="s">
        <v>128</v>
      </c>
      <c r="F15" s="40" t="s">
        <v>70</v>
      </c>
      <c r="G15" s="40" t="s">
        <v>127</v>
      </c>
      <c r="H15" s="15">
        <v>0.49027777777777781</v>
      </c>
      <c r="I15" s="13" t="s">
        <v>71</v>
      </c>
      <c r="J15" s="13" t="s">
        <v>72</v>
      </c>
      <c r="K15" s="46" t="s">
        <v>222</v>
      </c>
      <c r="L15" s="13">
        <v>2</v>
      </c>
      <c r="M15" s="13">
        <v>5</v>
      </c>
      <c r="N15" s="13" t="s">
        <v>94</v>
      </c>
      <c r="O15" s="13">
        <v>17.5</v>
      </c>
      <c r="P15" s="12">
        <f>AVERAGE(63.3,62.6)</f>
        <v>62.95</v>
      </c>
      <c r="Q15" s="12">
        <f>AVERAGE(63.1,63.2)</f>
        <v>63.150000000000006</v>
      </c>
      <c r="R15" s="55">
        <v>1.1000000000000001</v>
      </c>
      <c r="S15" s="55">
        <v>7.4749999999999996</v>
      </c>
      <c r="T15" s="55">
        <v>12.94</v>
      </c>
      <c r="U15" s="13" t="s">
        <v>13</v>
      </c>
      <c r="V15" s="16">
        <v>0</v>
      </c>
      <c r="W15" s="16" t="s">
        <v>13</v>
      </c>
      <c r="Y15" s="16" t="s">
        <v>175</v>
      </c>
    </row>
    <row r="16" spans="1:25" x14ac:dyDescent="0.25">
      <c r="A16" s="10">
        <v>42851</v>
      </c>
      <c r="B16" s="40" t="s">
        <v>79</v>
      </c>
      <c r="C16" s="40">
        <v>38.044899999999998</v>
      </c>
      <c r="D16" s="40">
        <v>-121.89078000000001</v>
      </c>
      <c r="E16" s="40" t="s">
        <v>155</v>
      </c>
      <c r="F16" s="40" t="s">
        <v>83</v>
      </c>
      <c r="G16" s="40" t="s">
        <v>98</v>
      </c>
      <c r="H16" s="15">
        <v>0.35694444444444445</v>
      </c>
      <c r="I16" s="13" t="s">
        <v>71</v>
      </c>
      <c r="J16" s="13" t="s">
        <v>72</v>
      </c>
      <c r="K16" s="46" t="s">
        <v>222</v>
      </c>
      <c r="L16" s="13">
        <v>2</v>
      </c>
      <c r="M16" s="13">
        <v>10</v>
      </c>
      <c r="N16" s="13" t="s">
        <v>73</v>
      </c>
      <c r="O16" s="13">
        <v>73</v>
      </c>
      <c r="P16" s="12">
        <f>AVERAGE(103.8,100.2)</f>
        <v>102</v>
      </c>
      <c r="Q16" s="12">
        <f>AVERAGE(101.8,101.1)</f>
        <v>101.44999999999999</v>
      </c>
      <c r="R16" s="55">
        <v>0.71</v>
      </c>
      <c r="S16" s="55">
        <v>18.399999999999999</v>
      </c>
      <c r="T16" s="55">
        <v>21.299999999999997</v>
      </c>
      <c r="U16" s="13" t="s">
        <v>13</v>
      </c>
      <c r="V16" s="16">
        <v>0</v>
      </c>
      <c r="W16" s="16" t="s">
        <v>13</v>
      </c>
      <c r="X16" s="7" t="s">
        <v>231</v>
      </c>
      <c r="Y16" s="16" t="s">
        <v>175</v>
      </c>
    </row>
    <row r="17" spans="1:25" x14ac:dyDescent="0.25">
      <c r="A17" s="10">
        <v>42851</v>
      </c>
      <c r="B17" s="40" t="s">
        <v>79</v>
      </c>
      <c r="C17" s="40">
        <v>38.0503</v>
      </c>
      <c r="D17" s="40">
        <v>-121.89952</v>
      </c>
      <c r="E17" s="40" t="s">
        <v>155</v>
      </c>
      <c r="F17" s="40" t="s">
        <v>83</v>
      </c>
      <c r="G17" s="40" t="s">
        <v>98</v>
      </c>
      <c r="H17" s="15">
        <v>0.36874999999999997</v>
      </c>
      <c r="I17" s="13" t="s">
        <v>71</v>
      </c>
      <c r="J17" s="13" t="s">
        <v>156</v>
      </c>
      <c r="K17" s="46" t="s">
        <v>157</v>
      </c>
      <c r="L17" s="13">
        <v>1</v>
      </c>
      <c r="M17" s="13">
        <v>4</v>
      </c>
      <c r="N17" s="13" t="s">
        <v>73</v>
      </c>
      <c r="O17" s="13" t="s">
        <v>13</v>
      </c>
      <c r="P17" s="13">
        <v>103.8</v>
      </c>
      <c r="Q17" s="13" t="s">
        <v>13</v>
      </c>
      <c r="R17" s="55">
        <v>0.38</v>
      </c>
      <c r="S17" s="55">
        <v>34.5</v>
      </c>
      <c r="T17" s="56" t="s">
        <v>13</v>
      </c>
      <c r="U17" s="13" t="s">
        <v>13</v>
      </c>
      <c r="V17" s="16">
        <v>0</v>
      </c>
      <c r="W17" s="16" t="s">
        <v>13</v>
      </c>
      <c r="X17" s="7" t="s">
        <v>265</v>
      </c>
      <c r="Y17" s="16" t="s">
        <v>175</v>
      </c>
    </row>
    <row r="18" spans="1:25" x14ac:dyDescent="0.25">
      <c r="A18" s="10">
        <v>42851</v>
      </c>
      <c r="B18" s="40" t="s">
        <v>79</v>
      </c>
      <c r="C18" s="40">
        <v>38.074469999999998</v>
      </c>
      <c r="D18" s="40">
        <v>-121.77533</v>
      </c>
      <c r="E18" s="40" t="s">
        <v>158</v>
      </c>
      <c r="F18" s="40" t="s">
        <v>83</v>
      </c>
      <c r="G18" s="40" t="s">
        <v>145</v>
      </c>
      <c r="H18" s="15">
        <v>0.41597222222222219</v>
      </c>
      <c r="I18" s="13" t="s">
        <v>71</v>
      </c>
      <c r="J18" s="13" t="s">
        <v>72</v>
      </c>
      <c r="K18" s="46" t="s">
        <v>222</v>
      </c>
      <c r="L18" s="13">
        <v>2</v>
      </c>
      <c r="M18" s="13">
        <v>10</v>
      </c>
      <c r="N18" s="13" t="s">
        <v>73</v>
      </c>
      <c r="O18" s="13">
        <v>16.5</v>
      </c>
      <c r="P18" s="12">
        <f>AVERAGE(89.3,82.4)</f>
        <v>85.85</v>
      </c>
      <c r="Q18" s="12">
        <f>AVERAGE(91.9,83.4)</f>
        <v>87.65</v>
      </c>
      <c r="R18" s="55">
        <v>0.63</v>
      </c>
      <c r="S18" s="55">
        <v>26.1</v>
      </c>
      <c r="T18" s="55">
        <v>29</v>
      </c>
      <c r="U18" s="13" t="s">
        <v>13</v>
      </c>
      <c r="V18" s="16">
        <v>0</v>
      </c>
      <c r="W18" s="16" t="s">
        <v>13</v>
      </c>
      <c r="X18" s="7" t="s">
        <v>232</v>
      </c>
      <c r="Y18" s="16" t="s">
        <v>175</v>
      </c>
    </row>
    <row r="19" spans="1:25" x14ac:dyDescent="0.25">
      <c r="A19" s="10">
        <v>42851</v>
      </c>
      <c r="B19" s="40" t="s">
        <v>79</v>
      </c>
      <c r="C19" s="40">
        <v>38.073819999999998</v>
      </c>
      <c r="D19" s="40">
        <v>-121.77705</v>
      </c>
      <c r="E19" s="40" t="s">
        <v>158</v>
      </c>
      <c r="F19" s="40" t="s">
        <v>83</v>
      </c>
      <c r="G19" s="40" t="s">
        <v>145</v>
      </c>
      <c r="H19" s="15">
        <v>0.4368055555555555</v>
      </c>
      <c r="I19" s="13" t="s">
        <v>71</v>
      </c>
      <c r="J19" s="13" t="s">
        <v>156</v>
      </c>
      <c r="K19" s="46" t="s">
        <v>157</v>
      </c>
      <c r="L19" s="13">
        <v>2</v>
      </c>
      <c r="M19" s="13">
        <v>5</v>
      </c>
      <c r="N19" s="13" t="s">
        <v>73</v>
      </c>
      <c r="O19" s="13" t="s">
        <v>13</v>
      </c>
      <c r="P19" s="12">
        <f>AVERAGE(88.5,83.8)</f>
        <v>86.15</v>
      </c>
      <c r="Q19" s="13" t="s">
        <v>13</v>
      </c>
      <c r="R19" s="55">
        <v>0.42499999999999999</v>
      </c>
      <c r="S19" s="55">
        <v>28.55</v>
      </c>
      <c r="T19" s="56" t="s">
        <v>13</v>
      </c>
      <c r="U19" s="13" t="s">
        <v>13</v>
      </c>
      <c r="V19" s="16">
        <v>0</v>
      </c>
      <c r="W19" s="16" t="s">
        <v>13</v>
      </c>
      <c r="X19" s="7" t="s">
        <v>266</v>
      </c>
      <c r="Y19" s="16" t="s">
        <v>175</v>
      </c>
    </row>
    <row r="20" spans="1:25" x14ac:dyDescent="0.25">
      <c r="A20" s="10">
        <v>42851</v>
      </c>
      <c r="B20" s="40" t="s">
        <v>79</v>
      </c>
      <c r="C20" s="40">
        <v>38.099240000000002</v>
      </c>
      <c r="D20" s="40">
        <v>-121.68639</v>
      </c>
      <c r="E20" s="40" t="s">
        <v>159</v>
      </c>
      <c r="F20" s="40" t="s">
        <v>120</v>
      </c>
      <c r="G20" s="40" t="s">
        <v>147</v>
      </c>
      <c r="H20" s="15">
        <v>0.48333333333333334</v>
      </c>
      <c r="I20" s="13" t="s">
        <v>71</v>
      </c>
      <c r="J20" s="13" t="s">
        <v>72</v>
      </c>
      <c r="K20" s="46" t="s">
        <v>222</v>
      </c>
      <c r="L20" s="13">
        <v>2</v>
      </c>
      <c r="M20" s="13">
        <v>10</v>
      </c>
      <c r="N20" s="13" t="s">
        <v>94</v>
      </c>
      <c r="O20" s="13">
        <v>26</v>
      </c>
      <c r="P20" s="12">
        <f>AVERAGE(88.9,88.7)</f>
        <v>88.800000000000011</v>
      </c>
      <c r="Q20" s="12">
        <f>AVERAGE(89.4,89.7)</f>
        <v>89.550000000000011</v>
      </c>
      <c r="R20" s="55">
        <v>0.79</v>
      </c>
      <c r="S20" s="55">
        <v>15.85</v>
      </c>
      <c r="T20" s="55">
        <v>15.05</v>
      </c>
      <c r="U20" s="13" t="s">
        <v>13</v>
      </c>
      <c r="V20" s="16">
        <v>0</v>
      </c>
      <c r="W20" s="16" t="s">
        <v>13</v>
      </c>
      <c r="X20" s="7" t="s">
        <v>233</v>
      </c>
      <c r="Y20" s="16" t="s">
        <v>175</v>
      </c>
    </row>
    <row r="21" spans="1:25" x14ac:dyDescent="0.25">
      <c r="A21" s="10">
        <v>42851</v>
      </c>
      <c r="B21" s="40" t="s">
        <v>79</v>
      </c>
      <c r="C21" s="40">
        <v>38.10098</v>
      </c>
      <c r="D21" s="40">
        <v>-121.68665</v>
      </c>
      <c r="E21" s="40" t="s">
        <v>159</v>
      </c>
      <c r="F21" s="40" t="s">
        <v>120</v>
      </c>
      <c r="G21" s="40" t="s">
        <v>147</v>
      </c>
      <c r="H21" s="15">
        <v>0.48333333333333334</v>
      </c>
      <c r="I21" s="13" t="s">
        <v>71</v>
      </c>
      <c r="J21" s="13" t="s">
        <v>156</v>
      </c>
      <c r="K21" s="46" t="s">
        <v>157</v>
      </c>
      <c r="L21" s="13">
        <v>2</v>
      </c>
      <c r="M21" s="13">
        <v>10</v>
      </c>
      <c r="N21" s="13" t="s">
        <v>73</v>
      </c>
      <c r="O21" s="13" t="s">
        <v>13</v>
      </c>
      <c r="P21" s="12">
        <f>AVERAGE(82,81.7)</f>
        <v>81.849999999999994</v>
      </c>
      <c r="Q21" s="13" t="s">
        <v>13</v>
      </c>
      <c r="R21" s="55">
        <v>0.745</v>
      </c>
      <c r="S21" s="55">
        <v>21</v>
      </c>
      <c r="T21" s="56" t="s">
        <v>13</v>
      </c>
      <c r="U21" s="13" t="s">
        <v>13</v>
      </c>
      <c r="V21" s="16">
        <v>0</v>
      </c>
      <c r="W21" s="16" t="s">
        <v>13</v>
      </c>
      <c r="X21" s="7" t="s">
        <v>234</v>
      </c>
      <c r="Y21" s="16" t="s">
        <v>175</v>
      </c>
    </row>
    <row r="22" spans="1:25" x14ac:dyDescent="0.25">
      <c r="A22" s="10">
        <v>42852</v>
      </c>
      <c r="B22" s="40" t="s">
        <v>124</v>
      </c>
      <c r="C22" s="40">
        <v>38.064190000000004</v>
      </c>
      <c r="D22" s="40">
        <v>-121.5005</v>
      </c>
      <c r="E22" s="40" t="s">
        <v>160</v>
      </c>
      <c r="F22" s="40" t="s">
        <v>70</v>
      </c>
      <c r="G22" s="40" t="s">
        <v>127</v>
      </c>
      <c r="H22" s="15">
        <v>0.53263888888888888</v>
      </c>
      <c r="I22" s="13" t="s">
        <v>71</v>
      </c>
      <c r="J22" s="13" t="s">
        <v>72</v>
      </c>
      <c r="K22" s="46" t="s">
        <v>222</v>
      </c>
      <c r="L22" s="13">
        <v>2</v>
      </c>
      <c r="M22" s="13">
        <v>10</v>
      </c>
      <c r="N22" s="13" t="s">
        <v>73</v>
      </c>
      <c r="O22" s="13">
        <v>20</v>
      </c>
      <c r="P22" s="12">
        <f>AVERAGE(87.5,82)</f>
        <v>84.75</v>
      </c>
      <c r="Q22" s="12">
        <f>AVERAGE(81.4,82)</f>
        <v>81.7</v>
      </c>
      <c r="R22" s="55">
        <v>0.95499999999999996</v>
      </c>
      <c r="S22" s="55">
        <v>18.350000000000001</v>
      </c>
      <c r="T22" s="55">
        <v>36.549999999999997</v>
      </c>
      <c r="U22" s="13" t="s">
        <v>13</v>
      </c>
      <c r="V22" s="16">
        <v>0</v>
      </c>
      <c r="W22" s="16" t="s">
        <v>13</v>
      </c>
      <c r="X22" s="7" t="s">
        <v>161</v>
      </c>
      <c r="Y22" s="14" t="s">
        <v>175</v>
      </c>
    </row>
    <row r="23" spans="1:25" x14ac:dyDescent="0.25">
      <c r="A23" s="10">
        <v>42852</v>
      </c>
      <c r="B23" s="40" t="s">
        <v>124</v>
      </c>
      <c r="C23" s="40">
        <v>38.513289999999998</v>
      </c>
      <c r="D23" s="40">
        <v>-121.55362</v>
      </c>
      <c r="E23" s="40" t="s">
        <v>162</v>
      </c>
      <c r="F23" s="40" t="s">
        <v>120</v>
      </c>
      <c r="G23" s="40" t="s">
        <v>121</v>
      </c>
      <c r="H23" s="15">
        <v>0.46180555555555558</v>
      </c>
      <c r="I23" s="13" t="s">
        <v>71</v>
      </c>
      <c r="J23" s="13" t="s">
        <v>72</v>
      </c>
      <c r="K23" s="46" t="s">
        <v>222</v>
      </c>
      <c r="L23" s="13">
        <v>2</v>
      </c>
      <c r="M23" s="13">
        <v>10</v>
      </c>
      <c r="N23" s="13" t="s">
        <v>73</v>
      </c>
      <c r="O23" s="13">
        <v>42.5</v>
      </c>
      <c r="P23" s="12">
        <f>AVERAGE(62.1,61.9)</f>
        <v>62</v>
      </c>
      <c r="Q23" s="12">
        <f>AVERAGE(62.6,62.5)</f>
        <v>62.55</v>
      </c>
      <c r="R23" s="55">
        <v>0.625</v>
      </c>
      <c r="S23" s="55">
        <v>16.350000000000001</v>
      </c>
      <c r="T23" s="55">
        <v>16.899999999999999</v>
      </c>
      <c r="U23" s="13" t="s">
        <v>13</v>
      </c>
      <c r="V23" s="16">
        <v>0</v>
      </c>
      <c r="W23" s="16" t="s">
        <v>13</v>
      </c>
      <c r="Y23" s="41" t="s">
        <v>175</v>
      </c>
    </row>
    <row r="24" spans="1:25" x14ac:dyDescent="0.25">
      <c r="A24" s="10">
        <v>42856</v>
      </c>
      <c r="B24" s="40" t="s">
        <v>79</v>
      </c>
      <c r="C24" s="40">
        <v>38.08419</v>
      </c>
      <c r="D24" s="40">
        <v>-122.05374</v>
      </c>
      <c r="E24" s="40" t="s">
        <v>163</v>
      </c>
      <c r="F24" s="40" t="s">
        <v>83</v>
      </c>
      <c r="G24" s="40" t="s">
        <v>84</v>
      </c>
      <c r="H24" s="15">
        <v>0.36041666666666666</v>
      </c>
      <c r="I24" s="13" t="s">
        <v>71</v>
      </c>
      <c r="J24" s="13" t="s">
        <v>72</v>
      </c>
      <c r="K24" s="46" t="s">
        <v>222</v>
      </c>
      <c r="L24" s="13">
        <v>2</v>
      </c>
      <c r="M24" s="13">
        <v>10</v>
      </c>
      <c r="N24" s="13" t="s">
        <v>73</v>
      </c>
      <c r="O24" s="13">
        <v>19</v>
      </c>
      <c r="P24" s="12">
        <f>AVERAGE(112.2,115.5)</f>
        <v>113.85</v>
      </c>
      <c r="Q24" s="12">
        <f>AVERAGE(115.8,115.9)</f>
        <v>115.85</v>
      </c>
      <c r="R24" s="55">
        <v>0.48</v>
      </c>
      <c r="S24" s="55">
        <v>21.2</v>
      </c>
      <c r="T24" s="55">
        <v>22.9</v>
      </c>
      <c r="U24" s="13" t="s">
        <v>13</v>
      </c>
      <c r="V24" s="16">
        <v>0</v>
      </c>
      <c r="W24" s="16" t="s">
        <v>13</v>
      </c>
      <c r="Y24" s="9" t="s">
        <v>175</v>
      </c>
    </row>
    <row r="25" spans="1:25" x14ac:dyDescent="0.25">
      <c r="A25" s="10">
        <v>42856</v>
      </c>
      <c r="B25" s="40" t="s">
        <v>79</v>
      </c>
      <c r="C25" s="40">
        <v>38.041952000000002</v>
      </c>
      <c r="D25" s="40">
        <v>-121.90394000000001</v>
      </c>
      <c r="E25" s="40" t="s">
        <v>164</v>
      </c>
      <c r="F25" s="40" t="s">
        <v>83</v>
      </c>
      <c r="G25" s="40" t="s">
        <v>98</v>
      </c>
      <c r="H25" s="15">
        <v>0.40902777777777777</v>
      </c>
      <c r="I25" s="13" t="s">
        <v>71</v>
      </c>
      <c r="J25" s="13" t="s">
        <v>72</v>
      </c>
      <c r="K25" s="46" t="s">
        <v>222</v>
      </c>
      <c r="L25" s="13">
        <v>2</v>
      </c>
      <c r="M25" s="13">
        <v>10</v>
      </c>
      <c r="N25" s="13" t="s">
        <v>73</v>
      </c>
      <c r="O25" s="13">
        <v>26.5</v>
      </c>
      <c r="P25" s="12">
        <f>AVERAGE(97.8,95.6)</f>
        <v>96.699999999999989</v>
      </c>
      <c r="Q25" s="12">
        <f>AVERAGE(97.9,95.3)</f>
        <v>96.6</v>
      </c>
      <c r="R25" s="55">
        <v>0.53500000000000003</v>
      </c>
      <c r="S25" s="55">
        <v>21.25</v>
      </c>
      <c r="T25" s="55">
        <v>21.85</v>
      </c>
      <c r="U25" s="13" t="s">
        <v>13</v>
      </c>
      <c r="V25" s="16">
        <v>0</v>
      </c>
      <c r="W25" s="16" t="s">
        <v>13</v>
      </c>
      <c r="Y25" s="9" t="s">
        <v>175</v>
      </c>
    </row>
    <row r="26" spans="1:25" x14ac:dyDescent="0.25">
      <c r="A26" s="10">
        <v>42856</v>
      </c>
      <c r="B26" s="40" t="s">
        <v>79</v>
      </c>
      <c r="C26" s="40">
        <v>38.043999999999997</v>
      </c>
      <c r="D26" s="40">
        <v>-121.69708</v>
      </c>
      <c r="E26" s="40" t="s">
        <v>165</v>
      </c>
      <c r="F26" s="40" t="s">
        <v>83</v>
      </c>
      <c r="G26" s="40" t="s">
        <v>88</v>
      </c>
      <c r="H26" s="15">
        <v>0.46736111111111112</v>
      </c>
      <c r="I26" s="13" t="s">
        <v>71</v>
      </c>
      <c r="J26" s="13" t="s">
        <v>72</v>
      </c>
      <c r="K26" s="46" t="s">
        <v>222</v>
      </c>
      <c r="L26" s="13">
        <v>2</v>
      </c>
      <c r="M26" s="13">
        <v>10</v>
      </c>
      <c r="N26" s="13" t="s">
        <v>73</v>
      </c>
      <c r="O26" s="13">
        <v>36</v>
      </c>
      <c r="P26" s="12">
        <f>AVERAGE(98.7,97.4)</f>
        <v>98.050000000000011</v>
      </c>
      <c r="Q26" s="12">
        <f>AVERAGE(100.9,99.9)</f>
        <v>100.4</v>
      </c>
      <c r="R26" s="55">
        <v>0.77499999999999991</v>
      </c>
      <c r="S26" s="55">
        <v>10.8</v>
      </c>
      <c r="T26" s="55">
        <v>11.85</v>
      </c>
      <c r="U26" s="13" t="s">
        <v>13</v>
      </c>
      <c r="V26" s="16">
        <v>0</v>
      </c>
      <c r="W26" s="16" t="s">
        <v>13</v>
      </c>
      <c r="Y26" s="9" t="s">
        <v>175</v>
      </c>
    </row>
    <row r="27" spans="1:25" x14ac:dyDescent="0.25">
      <c r="A27" s="10">
        <v>42856</v>
      </c>
      <c r="B27" s="40" t="s">
        <v>69</v>
      </c>
      <c r="C27" s="40">
        <v>38.01088</v>
      </c>
      <c r="D27" s="40">
        <v>-121.51864999999999</v>
      </c>
      <c r="E27" s="40" t="s">
        <v>166</v>
      </c>
      <c r="F27" s="40" t="s">
        <v>70</v>
      </c>
      <c r="G27" s="40" t="s">
        <v>142</v>
      </c>
      <c r="H27" s="15">
        <v>0.31527777777777777</v>
      </c>
      <c r="I27" s="13" t="s">
        <v>71</v>
      </c>
      <c r="J27" s="13" t="s">
        <v>72</v>
      </c>
      <c r="K27" s="46" t="s">
        <v>222</v>
      </c>
      <c r="L27" s="13">
        <v>2</v>
      </c>
      <c r="M27" s="13">
        <v>10</v>
      </c>
      <c r="N27" s="13" t="s">
        <v>94</v>
      </c>
      <c r="O27" s="13">
        <v>42</v>
      </c>
      <c r="P27" s="12">
        <f>AVERAGE(119.4,119.6)</f>
        <v>119.5</v>
      </c>
      <c r="Q27" s="12">
        <f>AVERAGE(122.8,117.8)</f>
        <v>120.3</v>
      </c>
      <c r="R27" s="55">
        <v>1.33</v>
      </c>
      <c r="S27" s="55">
        <v>6.7549999999999999</v>
      </c>
      <c r="T27" s="55">
        <v>11.7</v>
      </c>
      <c r="U27" s="13" t="s">
        <v>13</v>
      </c>
      <c r="V27" s="16">
        <v>0</v>
      </c>
      <c r="W27" s="16" t="s">
        <v>13</v>
      </c>
      <c r="Y27" s="9" t="s">
        <v>175</v>
      </c>
    </row>
    <row r="28" spans="1:25" x14ac:dyDescent="0.25">
      <c r="A28" s="10">
        <v>42856</v>
      </c>
      <c r="B28" s="40" t="s">
        <v>69</v>
      </c>
      <c r="C28" s="40">
        <v>37.848370000000003</v>
      </c>
      <c r="D28" s="40">
        <v>-121.53685</v>
      </c>
      <c r="E28" s="40" t="s">
        <v>167</v>
      </c>
      <c r="F28" s="40" t="s">
        <v>70</v>
      </c>
      <c r="G28" s="40" t="s">
        <v>168</v>
      </c>
      <c r="H28" s="15">
        <v>0.39999999999999997</v>
      </c>
      <c r="I28" s="13" t="s">
        <v>71</v>
      </c>
      <c r="J28" s="13" t="s">
        <v>72</v>
      </c>
      <c r="K28" s="46" t="s">
        <v>222</v>
      </c>
      <c r="L28" s="13">
        <v>2</v>
      </c>
      <c r="M28" s="13">
        <v>10</v>
      </c>
      <c r="N28" s="13" t="s">
        <v>94</v>
      </c>
      <c r="O28" s="13">
        <v>13</v>
      </c>
      <c r="P28" s="12">
        <f>AVERAGE(89.6,89.5)</f>
        <v>89.55</v>
      </c>
      <c r="Q28" s="12">
        <f>AVERAGE(90.9,90.3)</f>
        <v>90.6</v>
      </c>
      <c r="R28" s="55">
        <v>0.79</v>
      </c>
      <c r="S28" s="55">
        <v>11.149999999999999</v>
      </c>
      <c r="T28" s="55">
        <v>85</v>
      </c>
      <c r="U28" s="13" t="s">
        <v>13</v>
      </c>
      <c r="V28" s="16">
        <v>0</v>
      </c>
      <c r="W28" s="16" t="s">
        <v>13</v>
      </c>
      <c r="X28" s="7" t="s">
        <v>169</v>
      </c>
      <c r="Y28" s="9" t="s">
        <v>175</v>
      </c>
    </row>
    <row r="29" spans="1:25" x14ac:dyDescent="0.25">
      <c r="A29" s="10">
        <v>42856</v>
      </c>
      <c r="B29" s="40" t="s">
        <v>69</v>
      </c>
      <c r="C29" s="40">
        <v>37.97289</v>
      </c>
      <c r="D29" s="40">
        <v>-121.58902</v>
      </c>
      <c r="E29" s="40" t="s">
        <v>170</v>
      </c>
      <c r="F29" s="40" t="s">
        <v>70</v>
      </c>
      <c r="G29" s="40" t="s">
        <v>171</v>
      </c>
      <c r="H29" s="15">
        <v>0.49791666666666662</v>
      </c>
      <c r="I29" s="13" t="s">
        <v>71</v>
      </c>
      <c r="J29" s="13" t="s">
        <v>72</v>
      </c>
      <c r="K29" s="46" t="s">
        <v>222</v>
      </c>
      <c r="L29" s="13">
        <v>2</v>
      </c>
      <c r="M29" s="13">
        <v>10</v>
      </c>
      <c r="N29" s="13" t="s">
        <v>73</v>
      </c>
      <c r="O29" s="13">
        <v>17</v>
      </c>
      <c r="P29" s="12">
        <f>AVERAGE(124.9,130.9)</f>
        <v>127.9</v>
      </c>
      <c r="Q29" s="12">
        <f>AVERAGE(128.5,135.7)</f>
        <v>132.1</v>
      </c>
      <c r="R29" s="55">
        <v>0.86499999999999999</v>
      </c>
      <c r="S29" s="55">
        <v>11.55</v>
      </c>
      <c r="T29" s="55">
        <v>39.299999999999997</v>
      </c>
      <c r="U29" s="13" t="s">
        <v>13</v>
      </c>
      <c r="V29" s="16">
        <v>0</v>
      </c>
      <c r="W29" s="16" t="s">
        <v>13</v>
      </c>
      <c r="X29" s="7" t="s">
        <v>172</v>
      </c>
      <c r="Y29" s="9" t="s">
        <v>175</v>
      </c>
    </row>
    <row r="30" spans="1:25" x14ac:dyDescent="0.25">
      <c r="A30" s="10">
        <v>42856</v>
      </c>
      <c r="B30" s="40" t="s">
        <v>69</v>
      </c>
      <c r="C30" s="40">
        <v>38.077629999999999</v>
      </c>
      <c r="D30" s="40">
        <v>-121.56892000000001</v>
      </c>
      <c r="E30" s="40" t="s">
        <v>173</v>
      </c>
      <c r="F30" s="40" t="s">
        <v>70</v>
      </c>
      <c r="G30" s="40" t="s">
        <v>140</v>
      </c>
      <c r="H30" s="15">
        <v>0.56041666666666667</v>
      </c>
      <c r="I30" s="13" t="s">
        <v>71</v>
      </c>
      <c r="J30" s="13" t="s">
        <v>72</v>
      </c>
      <c r="K30" s="46" t="s">
        <v>222</v>
      </c>
      <c r="L30" s="13">
        <v>2</v>
      </c>
      <c r="M30" s="13">
        <v>10</v>
      </c>
      <c r="N30" s="13" t="s">
        <v>73</v>
      </c>
      <c r="O30" s="13">
        <v>43.5</v>
      </c>
      <c r="P30" s="12">
        <f>AVERAGE(104.5,105)</f>
        <v>104.75</v>
      </c>
      <c r="Q30" s="12">
        <f>AVERAGE(112.1,108.1)</f>
        <v>110.1</v>
      </c>
      <c r="R30" s="55">
        <v>1.1399999999999999</v>
      </c>
      <c r="S30" s="55">
        <v>14.100000000000001</v>
      </c>
      <c r="T30" s="55">
        <v>25.15</v>
      </c>
      <c r="U30" s="13" t="s">
        <v>13</v>
      </c>
      <c r="V30" s="16">
        <v>0</v>
      </c>
      <c r="W30" s="16" t="s">
        <v>13</v>
      </c>
      <c r="Y30" s="9" t="s">
        <v>175</v>
      </c>
    </row>
    <row r="31" spans="1:25" x14ac:dyDescent="0.25">
      <c r="A31" s="10">
        <v>42857</v>
      </c>
      <c r="B31" s="40" t="s">
        <v>69</v>
      </c>
      <c r="C31" s="40">
        <v>38.076599999999999</v>
      </c>
      <c r="D31" s="40">
        <v>-121.64699</v>
      </c>
      <c r="E31" s="40" t="s">
        <v>183</v>
      </c>
      <c r="F31" s="40" t="s">
        <v>70</v>
      </c>
      <c r="G31" s="40" t="s">
        <v>152</v>
      </c>
      <c r="H31" s="15">
        <v>0.32777777777777778</v>
      </c>
      <c r="I31" s="13" t="s">
        <v>71</v>
      </c>
      <c r="J31" s="13" t="s">
        <v>72</v>
      </c>
      <c r="K31" s="46" t="s">
        <v>222</v>
      </c>
      <c r="L31" s="13">
        <v>2</v>
      </c>
      <c r="M31" s="13">
        <v>10</v>
      </c>
      <c r="N31" s="13" t="s">
        <v>94</v>
      </c>
      <c r="O31" s="13">
        <v>15</v>
      </c>
      <c r="P31" s="12">
        <f>AVERAGE(87.5,87.6)</f>
        <v>87.55</v>
      </c>
      <c r="Q31" s="12">
        <f>AVERAGE(92,98.6)</f>
        <v>95.3</v>
      </c>
      <c r="R31" s="55">
        <v>0.83</v>
      </c>
      <c r="S31" s="55">
        <v>8.3449999999999989</v>
      </c>
      <c r="T31" s="55">
        <v>18</v>
      </c>
      <c r="U31" s="13" t="s">
        <v>13</v>
      </c>
      <c r="V31" s="16">
        <v>0</v>
      </c>
      <c r="W31" s="16" t="s">
        <v>13</v>
      </c>
      <c r="Y31" s="9" t="s">
        <v>175</v>
      </c>
    </row>
    <row r="32" spans="1:25" x14ac:dyDescent="0.25">
      <c r="A32" s="10">
        <v>42857</v>
      </c>
      <c r="B32" s="40" t="s">
        <v>69</v>
      </c>
      <c r="C32" s="40">
        <v>38.051839999999999</v>
      </c>
      <c r="D32" s="40">
        <v>-121.50802</v>
      </c>
      <c r="E32" s="40" t="s">
        <v>184</v>
      </c>
      <c r="F32" s="40" t="s">
        <v>70</v>
      </c>
      <c r="G32" s="40" t="s">
        <v>140</v>
      </c>
      <c r="H32" s="15">
        <v>0.37638888888888888</v>
      </c>
      <c r="I32" s="13" t="s">
        <v>71</v>
      </c>
      <c r="J32" s="13" t="s">
        <v>72</v>
      </c>
      <c r="K32" s="46" t="s">
        <v>222</v>
      </c>
      <c r="L32" s="13">
        <v>2</v>
      </c>
      <c r="M32" s="13">
        <v>10</v>
      </c>
      <c r="N32" s="13" t="s">
        <v>94</v>
      </c>
      <c r="O32" s="13">
        <f>AVERAGE(42,37)</f>
        <v>39.5</v>
      </c>
      <c r="P32" s="12">
        <f>AVERAGE(115.4,115.5)</f>
        <v>115.45</v>
      </c>
      <c r="Q32" s="12">
        <f>AVERAGE(115.8,117.5)</f>
        <v>116.65</v>
      </c>
      <c r="R32" s="55">
        <v>0.8</v>
      </c>
      <c r="S32" s="55">
        <v>11.35</v>
      </c>
      <c r="T32" s="55">
        <v>13.010000000000002</v>
      </c>
      <c r="U32" s="13" t="s">
        <v>13</v>
      </c>
      <c r="V32" s="16">
        <v>0</v>
      </c>
      <c r="W32" s="16" t="s">
        <v>13</v>
      </c>
      <c r="Y32" s="9" t="s">
        <v>175</v>
      </c>
    </row>
    <row r="33" spans="1:25" x14ac:dyDescent="0.25">
      <c r="A33" s="10">
        <v>42857</v>
      </c>
      <c r="B33" s="40" t="s">
        <v>124</v>
      </c>
      <c r="C33" s="40">
        <v>38.192680000000003</v>
      </c>
      <c r="D33" s="40">
        <v>-121.56774</v>
      </c>
      <c r="E33" s="40" t="s">
        <v>185</v>
      </c>
      <c r="F33" s="40" t="s">
        <v>120</v>
      </c>
      <c r="G33" s="40" t="s">
        <v>186</v>
      </c>
      <c r="H33" s="15">
        <v>0.47986111111111113</v>
      </c>
      <c r="I33" s="13" t="s">
        <v>71</v>
      </c>
      <c r="J33" s="13" t="s">
        <v>72</v>
      </c>
      <c r="K33" s="46" t="s">
        <v>222</v>
      </c>
      <c r="L33" s="13">
        <v>2</v>
      </c>
      <c r="M33" s="13">
        <v>10</v>
      </c>
      <c r="N33" s="13" t="s">
        <v>73</v>
      </c>
      <c r="O33" s="13">
        <v>25.5</v>
      </c>
      <c r="P33" s="12">
        <f>AVERAGE(68.8,68.9)</f>
        <v>68.849999999999994</v>
      </c>
      <c r="Q33" s="12">
        <f>AVERAGE(68.9,69.8)</f>
        <v>69.349999999999994</v>
      </c>
      <c r="R33" s="58" t="s">
        <v>13</v>
      </c>
      <c r="S33" s="55">
        <v>20</v>
      </c>
      <c r="T33" s="55">
        <v>18.700000000000003</v>
      </c>
      <c r="U33" s="13" t="s">
        <v>13</v>
      </c>
      <c r="V33" s="16">
        <v>0</v>
      </c>
      <c r="W33" s="16" t="s">
        <v>13</v>
      </c>
      <c r="Y33" s="9" t="s">
        <v>175</v>
      </c>
    </row>
    <row r="34" spans="1:25" x14ac:dyDescent="0.25">
      <c r="A34" s="10">
        <v>42857</v>
      </c>
      <c r="B34" s="40" t="s">
        <v>79</v>
      </c>
      <c r="C34" s="40">
        <v>38.057209999999998</v>
      </c>
      <c r="D34" s="40">
        <v>-121.97653</v>
      </c>
      <c r="E34" s="40" t="s">
        <v>187</v>
      </c>
      <c r="F34" s="40" t="s">
        <v>83</v>
      </c>
      <c r="G34" s="40" t="s">
        <v>84</v>
      </c>
      <c r="H34" s="15">
        <v>0.45833333333333331</v>
      </c>
      <c r="I34" s="13" t="s">
        <v>71</v>
      </c>
      <c r="J34" s="13" t="s">
        <v>72</v>
      </c>
      <c r="K34" s="46" t="s">
        <v>222</v>
      </c>
      <c r="L34" s="13">
        <v>2</v>
      </c>
      <c r="M34" s="13">
        <v>10</v>
      </c>
      <c r="N34" s="13" t="s">
        <v>73</v>
      </c>
      <c r="O34" s="13">
        <v>35</v>
      </c>
      <c r="P34" s="12">
        <f>AVERAGE(97.8,96.8)</f>
        <v>97.3</v>
      </c>
      <c r="Q34" s="12">
        <f>AVERAGE(102.5,87.6)</f>
        <v>95.05</v>
      </c>
      <c r="R34" s="55">
        <v>0.625</v>
      </c>
      <c r="S34" s="55">
        <v>13.15</v>
      </c>
      <c r="T34" s="55">
        <v>19</v>
      </c>
      <c r="U34" s="13" t="s">
        <v>13</v>
      </c>
      <c r="V34" s="16">
        <v>0</v>
      </c>
      <c r="W34" s="16" t="s">
        <v>13</v>
      </c>
      <c r="Y34" s="9" t="s">
        <v>175</v>
      </c>
    </row>
    <row r="35" spans="1:25" x14ac:dyDescent="0.25">
      <c r="A35" s="10">
        <v>42857</v>
      </c>
      <c r="B35" s="40" t="s">
        <v>79</v>
      </c>
      <c r="C35" s="40">
        <v>38.374670000000002</v>
      </c>
      <c r="D35" s="40">
        <v>-121.62882999999999</v>
      </c>
      <c r="E35" s="40" t="s">
        <v>188</v>
      </c>
      <c r="F35" s="40" t="s">
        <v>120</v>
      </c>
      <c r="G35" s="40" t="s">
        <v>189</v>
      </c>
      <c r="H35" s="15">
        <v>0.37777777777777777</v>
      </c>
      <c r="I35" s="13" t="s">
        <v>71</v>
      </c>
      <c r="J35" s="13" t="s">
        <v>72</v>
      </c>
      <c r="K35" s="46" t="s">
        <v>222</v>
      </c>
      <c r="L35" s="13">
        <v>2</v>
      </c>
      <c r="M35" s="13">
        <v>10</v>
      </c>
      <c r="N35" s="13" t="s">
        <v>94</v>
      </c>
      <c r="O35" s="13">
        <v>19</v>
      </c>
      <c r="P35" s="12">
        <f>AVERAGE(702,683)</f>
        <v>692.5</v>
      </c>
      <c r="Q35" s="12">
        <f>AVERAGE(697,689)</f>
        <v>693</v>
      </c>
      <c r="R35" s="55">
        <v>0.57000000000000006</v>
      </c>
      <c r="S35" s="55">
        <v>17.399999999999999</v>
      </c>
      <c r="T35" s="55">
        <v>59.300000000000004</v>
      </c>
      <c r="U35" s="13" t="s">
        <v>14</v>
      </c>
      <c r="V35" s="14">
        <v>6</v>
      </c>
      <c r="W35" s="14" t="s">
        <v>190</v>
      </c>
      <c r="Y35" s="9" t="s">
        <v>175</v>
      </c>
    </row>
    <row r="36" spans="1:25" x14ac:dyDescent="0.25">
      <c r="A36" s="10">
        <v>42858</v>
      </c>
      <c r="B36" s="40" t="s">
        <v>79</v>
      </c>
      <c r="C36" s="40">
        <v>38.164740000000002</v>
      </c>
      <c r="D36" s="40">
        <v>-122.04510999999999</v>
      </c>
      <c r="E36" s="40" t="s">
        <v>191</v>
      </c>
      <c r="F36" s="40" t="s">
        <v>83</v>
      </c>
      <c r="G36" s="40" t="s">
        <v>86</v>
      </c>
      <c r="H36" s="15">
        <v>0.36180555555555555</v>
      </c>
      <c r="I36" s="13" t="s">
        <v>71</v>
      </c>
      <c r="J36" s="13" t="s">
        <v>72</v>
      </c>
      <c r="K36" s="46" t="s">
        <v>222</v>
      </c>
      <c r="L36" s="13">
        <v>2</v>
      </c>
      <c r="M36" s="13">
        <v>10</v>
      </c>
      <c r="N36" s="13" t="s">
        <v>94</v>
      </c>
      <c r="O36" s="13">
        <v>22</v>
      </c>
      <c r="P36" s="12">
        <f>AVERAGE(170.8,187.7)</f>
        <v>179.25</v>
      </c>
      <c r="Q36" s="12">
        <f>AVERAGE(291.6,279.8)</f>
        <v>285.70000000000005</v>
      </c>
      <c r="R36" s="55">
        <v>0.3</v>
      </c>
      <c r="S36" s="55">
        <v>34.85</v>
      </c>
      <c r="T36" s="55">
        <v>77.650000000000006</v>
      </c>
      <c r="U36" s="13" t="s">
        <v>13</v>
      </c>
      <c r="V36" s="16">
        <v>0</v>
      </c>
      <c r="W36" s="16" t="s">
        <v>13</v>
      </c>
      <c r="Y36" s="9" t="s">
        <v>175</v>
      </c>
    </row>
    <row r="37" spans="1:25" x14ac:dyDescent="0.25">
      <c r="A37" s="10">
        <v>42858</v>
      </c>
      <c r="B37" s="40" t="s">
        <v>100</v>
      </c>
      <c r="C37" s="40">
        <v>38.06071</v>
      </c>
      <c r="D37" s="40">
        <v>-122.28601</v>
      </c>
      <c r="E37" s="40" t="s">
        <v>192</v>
      </c>
      <c r="F37" s="40" t="s">
        <v>102</v>
      </c>
      <c r="G37" s="40" t="s">
        <v>104</v>
      </c>
      <c r="H37" s="15">
        <v>0.42083333333333334</v>
      </c>
      <c r="I37" s="13" t="s">
        <v>71</v>
      </c>
      <c r="J37" s="13" t="s">
        <v>72</v>
      </c>
      <c r="K37" s="46" t="s">
        <v>222</v>
      </c>
      <c r="L37" s="13">
        <v>2</v>
      </c>
      <c r="M37" s="13">
        <v>10</v>
      </c>
      <c r="N37" s="13" t="s">
        <v>73</v>
      </c>
      <c r="O37" s="13">
        <v>33</v>
      </c>
      <c r="P37" s="12">
        <f>AVERAGE(5527,3260)</f>
        <v>4393.5</v>
      </c>
      <c r="Q37" s="12">
        <f>AVERAGE(15775,20035)</f>
        <v>17905</v>
      </c>
      <c r="R37" s="55">
        <v>0.57000000000000006</v>
      </c>
      <c r="S37" s="55">
        <v>33.799999999999997</v>
      </c>
      <c r="T37" s="55">
        <v>57.1</v>
      </c>
      <c r="U37" s="13" t="s">
        <v>45</v>
      </c>
      <c r="V37" s="13">
        <v>18</v>
      </c>
      <c r="W37" s="13" t="s">
        <v>193</v>
      </c>
      <c r="Y37" s="9" t="s">
        <v>175</v>
      </c>
    </row>
    <row r="38" spans="1:25" x14ac:dyDescent="0.25">
      <c r="A38" s="10">
        <v>42858</v>
      </c>
      <c r="B38" s="40" t="s">
        <v>100</v>
      </c>
      <c r="C38" s="40">
        <v>38.132689999999997</v>
      </c>
      <c r="D38" s="40">
        <v>-122.28093</v>
      </c>
      <c r="E38" s="40" t="s">
        <v>194</v>
      </c>
      <c r="F38" s="40" t="s">
        <v>102</v>
      </c>
      <c r="G38" s="40" t="s">
        <v>133</v>
      </c>
      <c r="H38" s="15">
        <v>0.47083333333333338</v>
      </c>
      <c r="I38" s="13" t="s">
        <v>71</v>
      </c>
      <c r="J38" s="13" t="s">
        <v>72</v>
      </c>
      <c r="K38" s="46" t="s">
        <v>222</v>
      </c>
      <c r="L38" s="13">
        <v>2</v>
      </c>
      <c r="M38" s="13">
        <v>10</v>
      </c>
      <c r="N38" s="13" t="s">
        <v>73</v>
      </c>
      <c r="O38" s="13">
        <v>26</v>
      </c>
      <c r="P38" s="12">
        <f>AVERAGE(1964,1776)</f>
        <v>1870</v>
      </c>
      <c r="Q38" s="12">
        <f>AVERAGE(2295,1767)</f>
        <v>2031</v>
      </c>
      <c r="R38" s="55">
        <v>0.255</v>
      </c>
      <c r="S38" s="55">
        <v>67.400000000000006</v>
      </c>
      <c r="T38" s="55">
        <v>57.900000000000006</v>
      </c>
      <c r="U38" s="13" t="s">
        <v>45</v>
      </c>
      <c r="V38" s="16">
        <v>53</v>
      </c>
      <c r="W38" s="16" t="s">
        <v>195</v>
      </c>
      <c r="Y38" s="9" t="s">
        <v>175</v>
      </c>
    </row>
    <row r="39" spans="1:25" x14ac:dyDescent="0.25">
      <c r="A39" s="10">
        <v>42858</v>
      </c>
      <c r="B39" s="40" t="s">
        <v>100</v>
      </c>
      <c r="C39" s="40">
        <v>38.06944</v>
      </c>
      <c r="D39" s="40">
        <v>-122.09090999999999</v>
      </c>
      <c r="E39" s="40" t="s">
        <v>196</v>
      </c>
      <c r="F39" s="40" t="s">
        <v>102</v>
      </c>
      <c r="G39" s="40" t="s">
        <v>131</v>
      </c>
      <c r="H39" s="15">
        <v>0.52638888888888891</v>
      </c>
      <c r="I39" s="13" t="s">
        <v>71</v>
      </c>
      <c r="J39" s="13" t="s">
        <v>72</v>
      </c>
      <c r="K39" s="46" t="s">
        <v>222</v>
      </c>
      <c r="L39" s="13">
        <v>2</v>
      </c>
      <c r="M39" s="13">
        <v>10</v>
      </c>
      <c r="N39" s="13" t="s">
        <v>73</v>
      </c>
      <c r="O39" s="13">
        <v>16</v>
      </c>
      <c r="P39" s="12">
        <f>AVERAGE(97.9,93.2)</f>
        <v>95.550000000000011</v>
      </c>
      <c r="Q39" s="12">
        <f>AVERAGE(100.2,97.2)</f>
        <v>98.7</v>
      </c>
      <c r="R39" s="55">
        <v>0.3</v>
      </c>
      <c r="S39" s="55">
        <v>34.85</v>
      </c>
      <c r="T39" s="55">
        <v>77.650000000000006</v>
      </c>
      <c r="U39" s="13" t="s">
        <v>13</v>
      </c>
      <c r="V39" s="16">
        <v>0</v>
      </c>
      <c r="W39" s="16" t="s">
        <v>13</v>
      </c>
      <c r="Y39" s="9" t="s">
        <v>175</v>
      </c>
    </row>
    <row r="40" spans="1:25" x14ac:dyDescent="0.25">
      <c r="A40" s="10">
        <v>42858</v>
      </c>
      <c r="B40" s="40" t="s">
        <v>124</v>
      </c>
      <c r="C40" s="40">
        <v>38.11795</v>
      </c>
      <c r="D40" s="40">
        <v>-121.54004</v>
      </c>
      <c r="E40" s="40" t="s">
        <v>197</v>
      </c>
      <c r="F40" s="40" t="s">
        <v>70</v>
      </c>
      <c r="G40" s="40" t="s">
        <v>127</v>
      </c>
      <c r="H40" s="15">
        <v>0.33611111111111108</v>
      </c>
      <c r="I40" s="13" t="s">
        <v>71</v>
      </c>
      <c r="J40" s="13" t="s">
        <v>72</v>
      </c>
      <c r="K40" s="46" t="s">
        <v>222</v>
      </c>
      <c r="L40" s="13">
        <v>2</v>
      </c>
      <c r="M40" s="13">
        <v>10</v>
      </c>
      <c r="N40" s="13" t="s">
        <v>94</v>
      </c>
      <c r="O40" s="13">
        <v>11</v>
      </c>
      <c r="P40" s="12">
        <f>AVERAGE(66.4,66.2)</f>
        <v>66.300000000000011</v>
      </c>
      <c r="Q40" s="12">
        <f>AVERAGE(66,66.6)</f>
        <v>66.3</v>
      </c>
      <c r="R40" s="55">
        <v>1.1400000000000001</v>
      </c>
      <c r="S40" s="55">
        <v>15.725</v>
      </c>
      <c r="T40" s="55">
        <v>64.45</v>
      </c>
      <c r="U40" s="13" t="s">
        <v>13</v>
      </c>
      <c r="V40" s="16">
        <v>0</v>
      </c>
      <c r="W40" s="16" t="s">
        <v>13</v>
      </c>
      <c r="X40" s="7" t="s">
        <v>235</v>
      </c>
      <c r="Y40" s="9" t="s">
        <v>175</v>
      </c>
    </row>
    <row r="41" spans="1:25" x14ac:dyDescent="0.25">
      <c r="A41" s="10">
        <v>42858</v>
      </c>
      <c r="B41" s="40" t="s">
        <v>124</v>
      </c>
      <c r="C41" s="40">
        <v>38.118769999999998</v>
      </c>
      <c r="D41" s="40">
        <v>-121.53813</v>
      </c>
      <c r="E41" s="40" t="s">
        <v>197</v>
      </c>
      <c r="F41" s="40" t="s">
        <v>70</v>
      </c>
      <c r="G41" s="40" t="s">
        <v>127</v>
      </c>
      <c r="H41" s="15">
        <v>0.33611111111111108</v>
      </c>
      <c r="I41" s="13" t="s">
        <v>71</v>
      </c>
      <c r="J41" s="13" t="s">
        <v>156</v>
      </c>
      <c r="K41" s="46" t="s">
        <v>157</v>
      </c>
      <c r="L41" s="13">
        <v>2</v>
      </c>
      <c r="M41" s="13">
        <v>10</v>
      </c>
      <c r="N41" s="13" t="s">
        <v>94</v>
      </c>
      <c r="O41" s="13">
        <v>5</v>
      </c>
      <c r="P41" s="12">
        <f>AVERAGE(67.4,68.8)</f>
        <v>68.099999999999994</v>
      </c>
      <c r="Q41" s="13" t="s">
        <v>13</v>
      </c>
      <c r="R41" s="55">
        <v>0.94</v>
      </c>
      <c r="S41" s="55">
        <v>7.9700000000000006</v>
      </c>
      <c r="T41" s="56" t="s">
        <v>13</v>
      </c>
      <c r="U41" s="13" t="s">
        <v>13</v>
      </c>
      <c r="V41" s="16">
        <v>0</v>
      </c>
      <c r="W41" s="16" t="s">
        <v>13</v>
      </c>
      <c r="X41" s="7" t="s">
        <v>236</v>
      </c>
      <c r="Y41" s="9" t="s">
        <v>175</v>
      </c>
    </row>
    <row r="42" spans="1:25" x14ac:dyDescent="0.25">
      <c r="A42" s="10">
        <v>42858</v>
      </c>
      <c r="B42" s="40" t="s">
        <v>124</v>
      </c>
      <c r="C42" s="40">
        <v>38.474620000000002</v>
      </c>
      <c r="D42" s="40">
        <v>-121.53794000000001</v>
      </c>
      <c r="E42" s="40" t="s">
        <v>198</v>
      </c>
      <c r="F42" s="40" t="s">
        <v>120</v>
      </c>
      <c r="G42" s="40" t="s">
        <v>121</v>
      </c>
      <c r="H42" s="15">
        <v>0.51458333333333328</v>
      </c>
      <c r="I42" s="13" t="s">
        <v>71</v>
      </c>
      <c r="J42" s="13" t="s">
        <v>72</v>
      </c>
      <c r="K42" s="46" t="s">
        <v>222</v>
      </c>
      <c r="L42" s="13">
        <v>2</v>
      </c>
      <c r="M42" s="13">
        <v>10</v>
      </c>
      <c r="N42" s="13" t="s">
        <v>73</v>
      </c>
      <c r="O42" s="13">
        <v>25.5</v>
      </c>
      <c r="P42" s="12">
        <f>AVERAGE(73.6,74)</f>
        <v>73.8</v>
      </c>
      <c r="Q42" s="12">
        <f>AVERAGE(75.4,78.5)</f>
        <v>76.95</v>
      </c>
      <c r="R42" s="55">
        <v>0.56999999999999995</v>
      </c>
      <c r="S42" s="55">
        <v>33.799999999999997</v>
      </c>
      <c r="T42" s="55">
        <v>57.1</v>
      </c>
      <c r="U42" s="13" t="s">
        <v>13</v>
      </c>
      <c r="V42" s="16">
        <v>0</v>
      </c>
      <c r="W42" s="16" t="s">
        <v>13</v>
      </c>
      <c r="X42" s="7" t="s">
        <v>237</v>
      </c>
      <c r="Y42" s="9" t="s">
        <v>175</v>
      </c>
    </row>
    <row r="43" spans="1:25" x14ac:dyDescent="0.25">
      <c r="A43" s="10">
        <v>42858</v>
      </c>
      <c r="B43" s="40" t="s">
        <v>124</v>
      </c>
      <c r="C43" s="40">
        <v>38.474580000000003</v>
      </c>
      <c r="D43" s="40">
        <v>-121.53588000000001</v>
      </c>
      <c r="E43" s="40" t="s">
        <v>198</v>
      </c>
      <c r="F43" s="40" t="s">
        <v>120</v>
      </c>
      <c r="G43" s="40" t="s">
        <v>121</v>
      </c>
      <c r="H43" s="15">
        <v>0.51458333333333328</v>
      </c>
      <c r="I43" s="13" t="s">
        <v>71</v>
      </c>
      <c r="J43" s="13" t="s">
        <v>156</v>
      </c>
      <c r="K43" s="46" t="s">
        <v>157</v>
      </c>
      <c r="L43" s="13">
        <v>1</v>
      </c>
      <c r="M43" s="13">
        <v>5</v>
      </c>
      <c r="N43" s="13" t="s">
        <v>73</v>
      </c>
      <c r="O43" s="13" t="s">
        <v>199</v>
      </c>
      <c r="P43" s="13">
        <v>76.2</v>
      </c>
      <c r="Q43" s="13" t="s">
        <v>13</v>
      </c>
      <c r="R43" s="55">
        <v>0.45999999999999996</v>
      </c>
      <c r="S43" s="55">
        <v>29.3</v>
      </c>
      <c r="T43" s="55">
        <v>27</v>
      </c>
      <c r="U43" s="13" t="s">
        <v>13</v>
      </c>
      <c r="V43" s="16">
        <v>0</v>
      </c>
      <c r="W43" s="16" t="s">
        <v>13</v>
      </c>
      <c r="X43" s="7" t="s">
        <v>264</v>
      </c>
      <c r="Y43" s="9" t="s">
        <v>175</v>
      </c>
    </row>
    <row r="44" spans="1:25" x14ac:dyDescent="0.25">
      <c r="A44" s="10">
        <v>42863</v>
      </c>
      <c r="B44" s="40" t="s">
        <v>124</v>
      </c>
      <c r="C44" s="40">
        <v>38.091749999999998</v>
      </c>
      <c r="D44" s="40">
        <v>-121.50068</v>
      </c>
      <c r="E44" s="40" t="s">
        <v>200</v>
      </c>
      <c r="F44" s="40" t="s">
        <v>70</v>
      </c>
      <c r="G44" s="40" t="s">
        <v>127</v>
      </c>
      <c r="H44" s="15">
        <v>0.3611111111111111</v>
      </c>
      <c r="I44" s="13" t="s">
        <v>71</v>
      </c>
      <c r="J44" s="13" t="s">
        <v>72</v>
      </c>
      <c r="K44" s="46" t="s">
        <v>222</v>
      </c>
      <c r="L44" s="13">
        <v>2</v>
      </c>
      <c r="M44" s="13">
        <v>10</v>
      </c>
      <c r="N44" s="13" t="s">
        <v>73</v>
      </c>
      <c r="O44" s="13">
        <v>20</v>
      </c>
      <c r="P44" s="12">
        <f>AVERAGE(72,64.1)</f>
        <v>68.05</v>
      </c>
      <c r="Q44" s="12">
        <f>AVERAGE(66.5,67.5)</f>
        <v>67</v>
      </c>
      <c r="R44" s="55">
        <v>1.5449999999999999</v>
      </c>
      <c r="S44" s="55">
        <v>11.295</v>
      </c>
      <c r="T44" s="55">
        <v>51</v>
      </c>
      <c r="U44" s="13" t="s">
        <v>13</v>
      </c>
      <c r="V44" s="16">
        <v>0</v>
      </c>
      <c r="W44" s="16" t="s">
        <v>13</v>
      </c>
      <c r="Y44" s="9" t="s">
        <v>175</v>
      </c>
    </row>
    <row r="45" spans="1:25" x14ac:dyDescent="0.25">
      <c r="A45" s="10">
        <v>42863</v>
      </c>
      <c r="B45" s="40" t="s">
        <v>124</v>
      </c>
      <c r="C45" s="40">
        <v>38.155029999999996</v>
      </c>
      <c r="D45" s="40">
        <v>-121.50324000000001</v>
      </c>
      <c r="E45" s="40" t="s">
        <v>201</v>
      </c>
      <c r="F45" s="40" t="s">
        <v>70</v>
      </c>
      <c r="G45" s="40" t="s">
        <v>127</v>
      </c>
      <c r="H45" s="15">
        <v>0.42499999999999999</v>
      </c>
      <c r="I45" s="13" t="s">
        <v>71</v>
      </c>
      <c r="J45" s="13" t="s">
        <v>72</v>
      </c>
      <c r="K45" s="46" t="s">
        <v>222</v>
      </c>
      <c r="L45" s="13">
        <v>2</v>
      </c>
      <c r="M45" s="13">
        <v>10</v>
      </c>
      <c r="N45" s="13" t="s">
        <v>73</v>
      </c>
      <c r="O45" s="13">
        <v>20</v>
      </c>
      <c r="P45" s="12">
        <f>AVERAGE(47.2,46.1)</f>
        <v>46.650000000000006</v>
      </c>
      <c r="Q45" s="12">
        <f>AVERAGE(48,46.3)</f>
        <v>47.15</v>
      </c>
      <c r="R45" s="55">
        <v>1.43</v>
      </c>
      <c r="S45" s="55">
        <v>15.6</v>
      </c>
      <c r="T45" s="55">
        <v>135.85</v>
      </c>
      <c r="U45" s="13" t="s">
        <v>13</v>
      </c>
      <c r="V45" s="16">
        <v>0</v>
      </c>
      <c r="W45" s="16" t="s">
        <v>13</v>
      </c>
      <c r="Y45" s="9" t="s">
        <v>175</v>
      </c>
    </row>
    <row r="46" spans="1:25" x14ac:dyDescent="0.25">
      <c r="A46" s="10">
        <v>42863</v>
      </c>
      <c r="B46" s="40" t="s">
        <v>100</v>
      </c>
      <c r="C46" s="40">
        <v>38.040489999999998</v>
      </c>
      <c r="D46" s="40">
        <v>-122.31243000000001</v>
      </c>
      <c r="E46" s="40" t="s">
        <v>202</v>
      </c>
      <c r="F46" s="40" t="s">
        <v>102</v>
      </c>
      <c r="G46" s="40" t="s">
        <v>104</v>
      </c>
      <c r="H46" s="15">
        <v>0.38263888888888892</v>
      </c>
      <c r="I46" s="13" t="s">
        <v>71</v>
      </c>
      <c r="J46" s="13" t="s">
        <v>72</v>
      </c>
      <c r="K46" s="46" t="s">
        <v>222</v>
      </c>
      <c r="L46" s="13">
        <v>2</v>
      </c>
      <c r="M46" s="13">
        <v>10</v>
      </c>
      <c r="N46" s="13" t="s">
        <v>73</v>
      </c>
      <c r="O46" s="13">
        <v>18</v>
      </c>
      <c r="P46" s="12">
        <f>AVERAGE(7314,67169)</f>
        <v>37241.5</v>
      </c>
      <c r="Q46" s="12">
        <f>AVERAGE(11351,11462)</f>
        <v>11406.5</v>
      </c>
      <c r="R46" s="55">
        <v>0.45999999999999996</v>
      </c>
      <c r="S46" s="55">
        <v>24.450000000000003</v>
      </c>
      <c r="T46" s="55">
        <v>38.15</v>
      </c>
      <c r="U46" s="13" t="s">
        <v>13</v>
      </c>
      <c r="V46" s="16">
        <v>0</v>
      </c>
      <c r="W46" s="16" t="s">
        <v>13</v>
      </c>
      <c r="Y46" s="9" t="s">
        <v>175</v>
      </c>
    </row>
    <row r="47" spans="1:25" x14ac:dyDescent="0.25">
      <c r="A47" s="10">
        <v>42863</v>
      </c>
      <c r="B47" s="40" t="s">
        <v>100</v>
      </c>
      <c r="C47" s="40">
        <v>38.066200000000002</v>
      </c>
      <c r="D47" s="40">
        <v>-122.24247</v>
      </c>
      <c r="E47" s="40" t="s">
        <v>203</v>
      </c>
      <c r="F47" s="40" t="s">
        <v>102</v>
      </c>
      <c r="G47" s="40" t="s">
        <v>105</v>
      </c>
      <c r="H47" s="15">
        <v>0.44444444444444442</v>
      </c>
      <c r="I47" s="13" t="s">
        <v>71</v>
      </c>
      <c r="J47" s="13" t="s">
        <v>72</v>
      </c>
      <c r="K47" s="46" t="s">
        <v>222</v>
      </c>
      <c r="L47" s="13">
        <v>2</v>
      </c>
      <c r="M47" s="13">
        <v>10</v>
      </c>
      <c r="N47" s="13" t="s">
        <v>94</v>
      </c>
      <c r="O47" s="13">
        <v>53</v>
      </c>
      <c r="P47" s="12">
        <f>AVERAGE(2653,2545)</f>
        <v>2599</v>
      </c>
      <c r="Q47" s="12">
        <f>AVERAGE(14883,12750)</f>
        <v>13816.5</v>
      </c>
      <c r="R47" s="55">
        <v>0.43</v>
      </c>
      <c r="S47" s="55">
        <v>44.2</v>
      </c>
      <c r="T47" s="55">
        <v>141.5</v>
      </c>
      <c r="U47" s="13" t="s">
        <v>45</v>
      </c>
      <c r="V47" s="13">
        <v>14</v>
      </c>
      <c r="W47" s="13" t="s">
        <v>204</v>
      </c>
      <c r="Y47" s="9" t="s">
        <v>175</v>
      </c>
    </row>
    <row r="48" spans="1:25" x14ac:dyDescent="0.25">
      <c r="A48" s="10">
        <v>42863</v>
      </c>
      <c r="B48" s="40" t="s">
        <v>124</v>
      </c>
      <c r="C48" s="40">
        <v>38.135809999999999</v>
      </c>
      <c r="D48" s="40">
        <v>-121.56219</v>
      </c>
      <c r="E48" s="40" t="s">
        <v>205</v>
      </c>
      <c r="F48" s="40" t="s">
        <v>70</v>
      </c>
      <c r="G48" s="40" t="s">
        <v>127</v>
      </c>
      <c r="H48" s="15">
        <v>0.49583333333333335</v>
      </c>
      <c r="I48" s="13" t="s">
        <v>71</v>
      </c>
      <c r="J48" s="13" t="s">
        <v>72</v>
      </c>
      <c r="K48" s="46" t="s">
        <v>222</v>
      </c>
      <c r="L48" s="13">
        <v>2</v>
      </c>
      <c r="M48" s="13">
        <v>10</v>
      </c>
      <c r="N48" s="13" t="s">
        <v>94</v>
      </c>
      <c r="O48" s="13">
        <v>33.5</v>
      </c>
      <c r="P48" s="12">
        <f>AVERAGE(58.5,58)</f>
        <v>58.25</v>
      </c>
      <c r="Q48" s="12">
        <f>AVERAGE(58,59.4)</f>
        <v>58.7</v>
      </c>
      <c r="R48" s="55">
        <v>0.94500000000000006</v>
      </c>
      <c r="S48" s="55">
        <v>18.600000000000001</v>
      </c>
      <c r="T48" s="55">
        <v>106.5</v>
      </c>
      <c r="U48" s="13" t="s">
        <v>13</v>
      </c>
      <c r="V48" s="16">
        <v>0</v>
      </c>
      <c r="W48" s="16" t="s">
        <v>13</v>
      </c>
      <c r="Y48" s="41" t="s">
        <v>175</v>
      </c>
    </row>
    <row r="49" spans="1:25" x14ac:dyDescent="0.25">
      <c r="A49" s="10">
        <v>42863</v>
      </c>
      <c r="B49" s="40" t="s">
        <v>100</v>
      </c>
      <c r="C49" s="40">
        <v>38.038440000000001</v>
      </c>
      <c r="D49" s="40">
        <v>-122.13954</v>
      </c>
      <c r="E49" s="40" t="s">
        <v>208</v>
      </c>
      <c r="F49" s="40" t="s">
        <v>102</v>
      </c>
      <c r="G49" s="40" t="s">
        <v>131</v>
      </c>
      <c r="H49" s="15">
        <v>0.48402777777777778</v>
      </c>
      <c r="I49" s="13" t="s">
        <v>71</v>
      </c>
      <c r="J49" s="13" t="s">
        <v>72</v>
      </c>
      <c r="K49" s="46" t="s">
        <v>222</v>
      </c>
      <c r="L49" s="13">
        <v>2</v>
      </c>
      <c r="M49" s="13">
        <v>10</v>
      </c>
      <c r="N49" s="13" t="s">
        <v>73</v>
      </c>
      <c r="O49" s="13">
        <v>35</v>
      </c>
      <c r="P49" s="12">
        <f>AVERAGE(631,733)</f>
        <v>682</v>
      </c>
      <c r="Q49" s="12">
        <f>AVERAGE(1091,844)</f>
        <v>967.5</v>
      </c>
      <c r="R49" s="55">
        <v>0.31</v>
      </c>
      <c r="S49" s="55">
        <v>83.95</v>
      </c>
      <c r="T49" s="55">
        <v>87.15</v>
      </c>
      <c r="U49" s="13" t="s">
        <v>14</v>
      </c>
      <c r="V49" s="40">
        <v>4</v>
      </c>
      <c r="W49" s="13" t="s">
        <v>209</v>
      </c>
      <c r="Y49" s="42" t="s">
        <v>175</v>
      </c>
    </row>
    <row r="50" spans="1:25" x14ac:dyDescent="0.25">
      <c r="A50" s="10">
        <v>42863</v>
      </c>
      <c r="B50" s="40" t="s">
        <v>100</v>
      </c>
      <c r="C50" s="40">
        <v>38.038440000000001</v>
      </c>
      <c r="D50" s="40">
        <v>-122.13954</v>
      </c>
      <c r="E50" s="40" t="s">
        <v>208</v>
      </c>
      <c r="F50" s="40" t="s">
        <v>102</v>
      </c>
      <c r="G50" s="40" t="s">
        <v>131</v>
      </c>
      <c r="H50" s="15"/>
      <c r="I50" s="13"/>
      <c r="J50" s="13"/>
      <c r="K50" s="46"/>
      <c r="L50" s="13"/>
      <c r="M50" s="13"/>
      <c r="N50" s="13"/>
      <c r="O50" s="13"/>
      <c r="P50" s="13"/>
      <c r="Q50" s="13"/>
      <c r="R50" s="13"/>
      <c r="S50" s="13"/>
      <c r="T50" s="13"/>
      <c r="U50" s="13" t="s">
        <v>45</v>
      </c>
      <c r="V50" s="13">
        <v>40</v>
      </c>
      <c r="W50" s="13" t="s">
        <v>210</v>
      </c>
      <c r="Y50" s="42" t="s">
        <v>175</v>
      </c>
    </row>
    <row r="51" spans="1:25" x14ac:dyDescent="0.25">
      <c r="A51" s="10">
        <v>42864</v>
      </c>
      <c r="B51" s="40" t="s">
        <v>79</v>
      </c>
      <c r="C51" s="40">
        <v>38.197749999999999</v>
      </c>
      <c r="D51" s="40">
        <v>-121.65636000000001</v>
      </c>
      <c r="E51" s="40" t="s">
        <v>206</v>
      </c>
      <c r="F51" s="40" t="s">
        <v>120</v>
      </c>
      <c r="G51" s="40" t="s">
        <v>189</v>
      </c>
      <c r="H51" s="15">
        <v>0.48541666666666666</v>
      </c>
      <c r="I51" s="13" t="s">
        <v>71</v>
      </c>
      <c r="J51" s="13" t="s">
        <v>72</v>
      </c>
      <c r="K51" s="46" t="s">
        <v>222</v>
      </c>
      <c r="L51" s="13">
        <v>2</v>
      </c>
      <c r="M51" s="13">
        <v>10</v>
      </c>
      <c r="N51" s="13" t="s">
        <v>73</v>
      </c>
      <c r="O51" s="13">
        <v>40</v>
      </c>
      <c r="P51" s="12">
        <f>AVERAGE(203.2,207.3)</f>
        <v>205.25</v>
      </c>
      <c r="Q51" s="12">
        <f>AVERAGE(196.6,201.6)</f>
        <v>199.1</v>
      </c>
      <c r="R51" s="55">
        <v>0.89</v>
      </c>
      <c r="S51" s="55">
        <v>10.9</v>
      </c>
      <c r="T51" s="55">
        <v>16.350000000000001</v>
      </c>
      <c r="U51" s="13" t="s">
        <v>13</v>
      </c>
      <c r="V51" s="16">
        <v>0</v>
      </c>
      <c r="W51" s="16" t="s">
        <v>13</v>
      </c>
      <c r="Y51" s="16" t="s">
        <v>175</v>
      </c>
    </row>
    <row r="52" spans="1:25" x14ac:dyDescent="0.25">
      <c r="A52" s="10">
        <v>42864</v>
      </c>
      <c r="B52" s="40" t="s">
        <v>79</v>
      </c>
      <c r="C52" s="40">
        <v>38.017420000000001</v>
      </c>
      <c r="D52" s="40">
        <v>-121.79582000000001</v>
      </c>
      <c r="E52" s="40" t="s">
        <v>207</v>
      </c>
      <c r="F52" s="40" t="s">
        <v>83</v>
      </c>
      <c r="G52" s="40" t="s">
        <v>88</v>
      </c>
      <c r="H52" s="15">
        <v>0.54375000000000007</v>
      </c>
      <c r="I52" s="13" t="s">
        <v>71</v>
      </c>
      <c r="J52" s="13" t="s">
        <v>72</v>
      </c>
      <c r="K52" s="46" t="s">
        <v>222</v>
      </c>
      <c r="L52" s="13">
        <v>2</v>
      </c>
      <c r="M52" s="13">
        <v>10</v>
      </c>
      <c r="N52" s="13" t="s">
        <v>94</v>
      </c>
      <c r="O52" s="13">
        <v>35</v>
      </c>
      <c r="P52" s="12">
        <f>AVERAGE(114.4,110.7)</f>
        <v>112.55000000000001</v>
      </c>
      <c r="Q52" s="12">
        <f>AVERAGE(124.1,117.1)</f>
        <v>120.6</v>
      </c>
      <c r="R52" s="55">
        <v>1.125</v>
      </c>
      <c r="S52" s="55">
        <v>12.65</v>
      </c>
      <c r="T52" s="55">
        <v>13.4</v>
      </c>
      <c r="U52" s="13" t="s">
        <v>13</v>
      </c>
      <c r="V52" s="16">
        <v>0</v>
      </c>
      <c r="W52" s="16" t="s">
        <v>13</v>
      </c>
      <c r="Y52" s="16" t="s">
        <v>175</v>
      </c>
    </row>
    <row r="53" spans="1:25" x14ac:dyDescent="0.25">
      <c r="A53" s="10">
        <v>42864</v>
      </c>
      <c r="B53" s="40" t="s">
        <v>69</v>
      </c>
      <c r="C53" s="40">
        <v>37.943370000000002</v>
      </c>
      <c r="D53" s="40">
        <v>-121.5334</v>
      </c>
      <c r="E53" s="40" t="s">
        <v>211</v>
      </c>
      <c r="F53" s="40" t="s">
        <v>70</v>
      </c>
      <c r="G53" s="40" t="s">
        <v>96</v>
      </c>
      <c r="H53" s="15">
        <v>0.40972222222222227</v>
      </c>
      <c r="I53" s="13" t="s">
        <v>71</v>
      </c>
      <c r="J53" s="13" t="s">
        <v>72</v>
      </c>
      <c r="K53" s="46" t="s">
        <v>222</v>
      </c>
      <c r="L53" s="13">
        <v>2</v>
      </c>
      <c r="M53" s="13">
        <v>10</v>
      </c>
      <c r="N53" s="13" t="s">
        <v>94</v>
      </c>
      <c r="O53" s="13">
        <v>22</v>
      </c>
      <c r="P53" s="12">
        <f>AVERAGE(121.8,122.2)</f>
        <v>122</v>
      </c>
      <c r="Q53" s="12">
        <f>AVERAGE(123.5,125.5)</f>
        <v>124.5</v>
      </c>
      <c r="R53" s="55">
        <v>0.89</v>
      </c>
      <c r="S53" s="55">
        <v>13.149999999999999</v>
      </c>
      <c r="T53" s="55">
        <v>14.350000000000001</v>
      </c>
      <c r="U53" s="13" t="s">
        <v>13</v>
      </c>
      <c r="V53" s="16">
        <v>0</v>
      </c>
      <c r="W53" s="16" t="s">
        <v>13</v>
      </c>
      <c r="Y53" s="16" t="s">
        <v>175</v>
      </c>
    </row>
    <row r="54" spans="1:25" x14ac:dyDescent="0.25">
      <c r="A54" s="10">
        <v>42864</v>
      </c>
      <c r="B54" s="40" t="s">
        <v>69</v>
      </c>
      <c r="C54" s="40">
        <v>38.078479999999999</v>
      </c>
      <c r="D54" s="40">
        <v>-121.44998</v>
      </c>
      <c r="E54" s="40" t="s">
        <v>212</v>
      </c>
      <c r="F54" s="40" t="s">
        <v>70</v>
      </c>
      <c r="G54" s="40" t="s">
        <v>93</v>
      </c>
      <c r="H54" s="15">
        <v>0.34027777777777773</v>
      </c>
      <c r="I54" s="13" t="s">
        <v>71</v>
      </c>
      <c r="J54" s="13" t="s">
        <v>72</v>
      </c>
      <c r="K54" s="46" t="s">
        <v>222</v>
      </c>
      <c r="L54" s="13">
        <v>2</v>
      </c>
      <c r="M54" s="13">
        <v>10</v>
      </c>
      <c r="N54" s="13" t="s">
        <v>73</v>
      </c>
      <c r="O54" s="13">
        <v>15</v>
      </c>
      <c r="P54" s="12">
        <f>AVERAGE(84.5,85)</f>
        <v>84.75</v>
      </c>
      <c r="Q54" s="12">
        <f>AVERAGE(84.4,85.2)</f>
        <v>84.800000000000011</v>
      </c>
      <c r="R54" s="55">
        <v>1.62</v>
      </c>
      <c r="S54" s="55">
        <v>4.21</v>
      </c>
      <c r="T54" s="55">
        <v>6.9550000000000001</v>
      </c>
      <c r="U54" s="13" t="s">
        <v>13</v>
      </c>
      <c r="V54" s="16">
        <v>0</v>
      </c>
      <c r="W54" s="16" t="s">
        <v>13</v>
      </c>
      <c r="Y54" s="16" t="s">
        <v>175</v>
      </c>
    </row>
    <row r="55" spans="1:25" x14ac:dyDescent="0.25">
      <c r="A55" s="10">
        <v>42864</v>
      </c>
      <c r="B55" s="40" t="s">
        <v>69</v>
      </c>
      <c r="C55" s="40">
        <v>38.10819</v>
      </c>
      <c r="D55" s="40">
        <v>-121.6088</v>
      </c>
      <c r="E55" s="40" t="s">
        <v>213</v>
      </c>
      <c r="F55" s="40" t="s">
        <v>70</v>
      </c>
      <c r="G55" s="40" t="s">
        <v>140</v>
      </c>
      <c r="H55" s="15">
        <v>0.47569444444444442</v>
      </c>
      <c r="I55" s="13" t="s">
        <v>71</v>
      </c>
      <c r="J55" s="13" t="s">
        <v>72</v>
      </c>
      <c r="K55" s="46" t="s">
        <v>222</v>
      </c>
      <c r="L55" s="13">
        <v>2</v>
      </c>
      <c r="M55" s="13">
        <v>10</v>
      </c>
      <c r="N55" s="13" t="s">
        <v>73</v>
      </c>
      <c r="O55" s="13">
        <v>11.5</v>
      </c>
      <c r="P55" s="12">
        <f>AVERAGE(90,91.1)</f>
        <v>90.55</v>
      </c>
      <c r="Q55" s="12">
        <f>AVERAGE(91.3,91.7)</f>
        <v>91.5</v>
      </c>
      <c r="R55" s="55">
        <v>1.24</v>
      </c>
      <c r="S55" s="55">
        <v>9.3550000000000004</v>
      </c>
      <c r="T55" s="55">
        <v>11.375</v>
      </c>
      <c r="U55" s="13" t="s">
        <v>13</v>
      </c>
      <c r="V55" s="16">
        <v>0</v>
      </c>
      <c r="W55" s="16" t="s">
        <v>13</v>
      </c>
      <c r="Y55" s="9" t="s">
        <v>175</v>
      </c>
    </row>
    <row r="56" spans="1:25" x14ac:dyDescent="0.25">
      <c r="A56" s="10">
        <v>42865</v>
      </c>
      <c r="B56" s="40" t="s">
        <v>69</v>
      </c>
      <c r="C56" s="40">
        <v>37.982170000000004</v>
      </c>
      <c r="D56" s="40">
        <v>-121.52431</v>
      </c>
      <c r="E56" s="40" t="s">
        <v>214</v>
      </c>
      <c r="F56" s="40" t="s">
        <v>70</v>
      </c>
      <c r="G56" s="40" t="s">
        <v>142</v>
      </c>
      <c r="H56" s="15">
        <v>0.36527777777777781</v>
      </c>
      <c r="I56" s="13" t="s">
        <v>71</v>
      </c>
      <c r="J56" s="13" t="s">
        <v>72</v>
      </c>
      <c r="K56" s="46" t="s">
        <v>222</v>
      </c>
      <c r="L56" s="13">
        <v>2</v>
      </c>
      <c r="M56" s="13">
        <v>10</v>
      </c>
      <c r="N56" s="13" t="s">
        <v>73</v>
      </c>
      <c r="O56" s="13">
        <v>15.5</v>
      </c>
      <c r="P56" s="12">
        <f>AVERAGE(119.5,120.1)</f>
        <v>119.8</v>
      </c>
      <c r="Q56" s="12">
        <f>AVERAGE(120.5,120.4)</f>
        <v>120.45</v>
      </c>
      <c r="R56" s="55">
        <v>1.085</v>
      </c>
      <c r="S56" s="55">
        <v>6.5</v>
      </c>
      <c r="T56" s="55">
        <v>13.239999999999998</v>
      </c>
      <c r="U56" s="13" t="s">
        <v>13</v>
      </c>
      <c r="V56" s="16">
        <v>0</v>
      </c>
      <c r="W56" s="16" t="s">
        <v>13</v>
      </c>
      <c r="Y56" s="14" t="s">
        <v>175</v>
      </c>
    </row>
    <row r="57" spans="1:25" x14ac:dyDescent="0.25">
      <c r="A57" s="10">
        <v>42865</v>
      </c>
      <c r="B57" s="40" t="s">
        <v>69</v>
      </c>
      <c r="C57" s="40">
        <v>38.030560000000001</v>
      </c>
      <c r="D57" s="40">
        <v>-121.49189</v>
      </c>
      <c r="E57" s="40" t="s">
        <v>215</v>
      </c>
      <c r="F57" s="40" t="s">
        <v>70</v>
      </c>
      <c r="G57" s="40" t="s">
        <v>216</v>
      </c>
      <c r="H57" s="15">
        <v>0.32222222222222224</v>
      </c>
      <c r="I57" s="13" t="s">
        <v>71</v>
      </c>
      <c r="J57" s="13" t="s">
        <v>72</v>
      </c>
      <c r="K57" s="46" t="s">
        <v>222</v>
      </c>
      <c r="L57" s="13">
        <v>2</v>
      </c>
      <c r="M57" s="13">
        <v>10</v>
      </c>
      <c r="N57" s="13" t="s">
        <v>73</v>
      </c>
      <c r="O57" s="13">
        <v>17</v>
      </c>
      <c r="P57" s="12">
        <f>AVERAGE(97.4,96.7)</f>
        <v>97.050000000000011</v>
      </c>
      <c r="Q57" s="12">
        <f>AVERAGE(97.4,93.6)</f>
        <v>95.5</v>
      </c>
      <c r="R57" s="55">
        <v>0.88</v>
      </c>
      <c r="S57" s="55">
        <v>8.8849999999999998</v>
      </c>
      <c r="T57" s="55">
        <v>12.25</v>
      </c>
      <c r="U57" s="13" t="s">
        <v>13</v>
      </c>
      <c r="V57" s="16">
        <v>0</v>
      </c>
      <c r="W57" s="16" t="s">
        <v>13</v>
      </c>
      <c r="Y57" s="14" t="s">
        <v>175</v>
      </c>
    </row>
    <row r="58" spans="1:25" x14ac:dyDescent="0.25">
      <c r="A58" s="10">
        <v>42865</v>
      </c>
      <c r="B58" s="40" t="s">
        <v>69</v>
      </c>
      <c r="C58" s="40">
        <v>38.009520000000002</v>
      </c>
      <c r="D58" s="40">
        <v>-121.44848</v>
      </c>
      <c r="E58" s="40" t="s">
        <v>217</v>
      </c>
      <c r="F58" s="40" t="s">
        <v>70</v>
      </c>
      <c r="G58" s="40" t="s">
        <v>216</v>
      </c>
      <c r="H58" s="15">
        <v>0.42291666666666666</v>
      </c>
      <c r="I58" s="13" t="s">
        <v>71</v>
      </c>
      <c r="J58" s="13" t="s">
        <v>72</v>
      </c>
      <c r="K58" s="46" t="s">
        <v>222</v>
      </c>
      <c r="L58" s="13">
        <v>2</v>
      </c>
      <c r="M58" s="13">
        <v>10</v>
      </c>
      <c r="N58" s="13" t="s">
        <v>73</v>
      </c>
      <c r="O58" s="13">
        <v>16</v>
      </c>
      <c r="P58" s="12">
        <f>AVERAGE(97,96.4)</f>
        <v>96.7</v>
      </c>
      <c r="Q58" s="12">
        <f>AVERAGE(97.4,96)</f>
        <v>96.7</v>
      </c>
      <c r="R58" s="55">
        <v>1.0050000000000001</v>
      </c>
      <c r="S58" s="55">
        <v>13</v>
      </c>
      <c r="T58" s="55">
        <v>55.599999999999994</v>
      </c>
      <c r="U58" s="13" t="s">
        <v>13</v>
      </c>
      <c r="V58" s="16">
        <v>0</v>
      </c>
      <c r="W58" s="16" t="s">
        <v>13</v>
      </c>
      <c r="X58" s="7" t="s">
        <v>218</v>
      </c>
      <c r="Y58" s="9" t="s">
        <v>175</v>
      </c>
    </row>
    <row r="59" spans="1:25" x14ac:dyDescent="0.25">
      <c r="A59" s="10">
        <v>42866</v>
      </c>
      <c r="B59" s="40" t="s">
        <v>79</v>
      </c>
      <c r="C59" s="40">
        <v>38.151760000000003</v>
      </c>
      <c r="D59" s="40">
        <v>-121.68227</v>
      </c>
      <c r="E59" s="40" t="s">
        <v>219</v>
      </c>
      <c r="F59" s="40" t="s">
        <v>120</v>
      </c>
      <c r="G59" s="40" t="s">
        <v>147</v>
      </c>
      <c r="H59" s="15">
        <v>0.33958333333333335</v>
      </c>
      <c r="I59" s="13" t="s">
        <v>71</v>
      </c>
      <c r="J59" s="13" t="s">
        <v>156</v>
      </c>
      <c r="K59" s="46" t="s">
        <v>157</v>
      </c>
      <c r="L59" s="13">
        <v>2</v>
      </c>
      <c r="M59" s="13">
        <v>10</v>
      </c>
      <c r="N59" s="13" t="s">
        <v>73</v>
      </c>
      <c r="O59" s="13">
        <v>5</v>
      </c>
      <c r="P59" s="12">
        <f>AVERAGE(108.5,107.3)</f>
        <v>107.9</v>
      </c>
      <c r="Q59" s="13" t="s">
        <v>13</v>
      </c>
      <c r="R59" s="55">
        <v>0.56999999999999995</v>
      </c>
      <c r="S59" s="55">
        <v>27</v>
      </c>
      <c r="T59" s="56" t="s">
        <v>13</v>
      </c>
      <c r="U59" s="13" t="s">
        <v>13</v>
      </c>
      <c r="V59" s="16">
        <v>0</v>
      </c>
      <c r="W59" s="16" t="s">
        <v>13</v>
      </c>
      <c r="X59" s="7" t="s">
        <v>263</v>
      </c>
      <c r="Y59" s="9" t="s">
        <v>175</v>
      </c>
    </row>
    <row r="60" spans="1:25" x14ac:dyDescent="0.25">
      <c r="A60" s="10">
        <v>42866</v>
      </c>
      <c r="B60" s="40" t="s">
        <v>79</v>
      </c>
      <c r="C60" s="40">
        <v>38.153840000000002</v>
      </c>
      <c r="D60" s="40">
        <v>-121.68838</v>
      </c>
      <c r="E60" s="40" t="s">
        <v>219</v>
      </c>
      <c r="F60" s="40" t="s">
        <v>120</v>
      </c>
      <c r="G60" s="40" t="s">
        <v>147</v>
      </c>
      <c r="H60" s="15">
        <v>0.33680555555555558</v>
      </c>
      <c r="I60" s="13" t="s">
        <v>71</v>
      </c>
      <c r="J60" s="13" t="s">
        <v>72</v>
      </c>
      <c r="K60" s="46" t="s">
        <v>222</v>
      </c>
      <c r="L60" s="13">
        <v>2</v>
      </c>
      <c r="M60" s="13">
        <v>10</v>
      </c>
      <c r="N60" s="13" t="s">
        <v>73</v>
      </c>
      <c r="O60" s="13">
        <v>35.5</v>
      </c>
      <c r="P60" s="12">
        <f>AVERAGE(100.8,93.3)</f>
        <v>97.05</v>
      </c>
      <c r="Q60" s="12">
        <f>AVERAGE(97.1,103.6)</f>
        <v>100.35</v>
      </c>
      <c r="R60" s="55">
        <v>0.52499999999999991</v>
      </c>
      <c r="S60" s="55">
        <v>28.15</v>
      </c>
      <c r="T60" s="55">
        <v>43.3</v>
      </c>
      <c r="U60" s="13" t="s">
        <v>13</v>
      </c>
      <c r="V60" s="16">
        <v>0</v>
      </c>
      <c r="W60" s="16" t="s">
        <v>13</v>
      </c>
      <c r="X60" s="7" t="s">
        <v>238</v>
      </c>
      <c r="Y60" s="9" t="s">
        <v>175</v>
      </c>
    </row>
    <row r="61" spans="1:25" x14ac:dyDescent="0.25">
      <c r="A61" s="10">
        <v>42866</v>
      </c>
      <c r="B61" s="40" t="s">
        <v>79</v>
      </c>
      <c r="C61" s="40">
        <v>38.066690000000001</v>
      </c>
      <c r="D61" s="40">
        <v>-121.81947</v>
      </c>
      <c r="E61" s="40" t="s">
        <v>220</v>
      </c>
      <c r="F61" s="40" t="s">
        <v>83</v>
      </c>
      <c r="G61" s="40" t="s">
        <v>145</v>
      </c>
      <c r="H61" s="15">
        <v>0.44791666666666669</v>
      </c>
      <c r="I61" s="13" t="s">
        <v>71</v>
      </c>
      <c r="J61" s="13" t="s">
        <v>72</v>
      </c>
      <c r="K61" s="46" t="s">
        <v>222</v>
      </c>
      <c r="L61" s="13">
        <v>2</v>
      </c>
      <c r="M61" s="13">
        <v>10</v>
      </c>
      <c r="N61" s="13" t="s">
        <v>73</v>
      </c>
      <c r="O61" s="13">
        <v>22</v>
      </c>
      <c r="P61" s="12">
        <f>AVERAGE(108.7,106.8)</f>
        <v>107.75</v>
      </c>
      <c r="Q61" s="12">
        <f>AVERAGE(109.8,108)</f>
        <v>108.9</v>
      </c>
      <c r="R61" s="58" t="s">
        <v>13</v>
      </c>
      <c r="S61" s="55">
        <v>44.05</v>
      </c>
      <c r="T61" s="55">
        <v>57.25</v>
      </c>
      <c r="U61" s="13" t="s">
        <v>13</v>
      </c>
      <c r="V61" s="16">
        <v>0</v>
      </c>
      <c r="W61" s="16" t="s">
        <v>13</v>
      </c>
      <c r="X61" s="7" t="s">
        <v>239</v>
      </c>
      <c r="Y61" s="9" t="s">
        <v>175</v>
      </c>
    </row>
    <row r="62" spans="1:25" ht="13.5" customHeight="1" x14ac:dyDescent="0.25">
      <c r="A62" s="10">
        <v>42866</v>
      </c>
      <c r="B62" s="40" t="s">
        <v>79</v>
      </c>
      <c r="C62" s="40">
        <v>38.068300000000001</v>
      </c>
      <c r="D62" s="40">
        <v>-121.82219000000001</v>
      </c>
      <c r="E62" s="40" t="s">
        <v>220</v>
      </c>
      <c r="F62" s="40" t="s">
        <v>83</v>
      </c>
      <c r="G62" s="40" t="s">
        <v>145</v>
      </c>
      <c r="H62" s="15">
        <v>0.44861111111111113</v>
      </c>
      <c r="I62" s="13" t="s">
        <v>71</v>
      </c>
      <c r="J62" s="13" t="s">
        <v>156</v>
      </c>
      <c r="K62" s="46" t="s">
        <v>157</v>
      </c>
      <c r="L62" s="13">
        <v>2</v>
      </c>
      <c r="M62" s="13">
        <v>10</v>
      </c>
      <c r="N62" s="13" t="s">
        <v>94</v>
      </c>
      <c r="O62" s="13">
        <f>AVERAGE(5,8.61)</f>
        <v>6.8049999999999997</v>
      </c>
      <c r="P62" s="12">
        <f>AVERAGE(124.7,122.9)</f>
        <v>123.80000000000001</v>
      </c>
      <c r="Q62" s="13" t="s">
        <v>13</v>
      </c>
      <c r="R62" s="55">
        <v>0.44999999999999996</v>
      </c>
      <c r="S62" s="55">
        <v>42.05</v>
      </c>
      <c r="T62" s="56" t="s">
        <v>13</v>
      </c>
      <c r="U62" s="13" t="s">
        <v>14</v>
      </c>
      <c r="V62" s="14">
        <v>1</v>
      </c>
      <c r="W62" s="14">
        <v>14.8</v>
      </c>
      <c r="X62" s="7" t="s">
        <v>240</v>
      </c>
      <c r="Y62" s="9" t="s">
        <v>175</v>
      </c>
    </row>
    <row r="63" spans="1:25" x14ac:dyDescent="0.25">
      <c r="A63" s="10">
        <v>42870</v>
      </c>
      <c r="B63" s="40" t="s">
        <v>124</v>
      </c>
      <c r="C63" s="40">
        <v>38.091439999999999</v>
      </c>
      <c r="D63" s="40">
        <v>-121.53017</v>
      </c>
      <c r="E63" s="40" t="s">
        <v>221</v>
      </c>
      <c r="F63" s="40" t="s">
        <v>70</v>
      </c>
      <c r="G63" s="40" t="s">
        <v>127</v>
      </c>
      <c r="H63" s="15">
        <v>0.57222222222222219</v>
      </c>
      <c r="I63" s="13" t="s">
        <v>71</v>
      </c>
      <c r="J63" s="13" t="s">
        <v>72</v>
      </c>
      <c r="K63" s="46" t="s">
        <v>222</v>
      </c>
      <c r="L63" s="13">
        <v>2</v>
      </c>
      <c r="M63" s="13">
        <v>10</v>
      </c>
      <c r="N63" s="13" t="s">
        <v>73</v>
      </c>
      <c r="O63" s="13">
        <v>29</v>
      </c>
      <c r="P63" s="12">
        <f>AVERAGE(64.6,65.4)</f>
        <v>65</v>
      </c>
      <c r="Q63" s="12">
        <f>AVERAGE(61.9,65.5)</f>
        <v>63.7</v>
      </c>
      <c r="R63" s="55">
        <v>1.3900000000000001</v>
      </c>
      <c r="S63" s="55">
        <v>4.99</v>
      </c>
      <c r="T63" s="55">
        <v>12.3</v>
      </c>
      <c r="U63" s="13" t="s">
        <v>13</v>
      </c>
      <c r="V63" s="14">
        <v>0</v>
      </c>
      <c r="W63" s="14" t="s">
        <v>13</v>
      </c>
      <c r="Y63" s="14" t="s">
        <v>175</v>
      </c>
    </row>
    <row r="64" spans="1:25" x14ac:dyDescent="0.25">
      <c r="A64" s="10">
        <v>42870</v>
      </c>
      <c r="B64" s="40" t="s">
        <v>100</v>
      </c>
      <c r="C64" s="40">
        <v>38.062420000000003</v>
      </c>
      <c r="D64" s="40">
        <v>-122.22331</v>
      </c>
      <c r="E64" s="40" t="s">
        <v>224</v>
      </c>
      <c r="F64" s="40" t="s">
        <v>102</v>
      </c>
      <c r="G64" s="40" t="s">
        <v>105</v>
      </c>
      <c r="H64" s="15">
        <v>0.38680555555555557</v>
      </c>
      <c r="I64" s="13" t="s">
        <v>71</v>
      </c>
      <c r="J64" s="13" t="s">
        <v>72</v>
      </c>
      <c r="K64" s="46" t="s">
        <v>222</v>
      </c>
      <c r="L64" s="13">
        <v>1</v>
      </c>
      <c r="M64" s="13">
        <v>10</v>
      </c>
      <c r="N64" s="13" t="s">
        <v>73</v>
      </c>
      <c r="O64" s="13">
        <f>AVERAGE(96,80)</f>
        <v>88</v>
      </c>
      <c r="P64" s="12">
        <v>2847</v>
      </c>
      <c r="Q64" s="12">
        <v>2914</v>
      </c>
      <c r="R64" s="55">
        <v>0.505</v>
      </c>
      <c r="S64" s="55">
        <v>37.75</v>
      </c>
      <c r="T64" s="55">
        <v>98.9</v>
      </c>
      <c r="U64" s="13" t="s">
        <v>45</v>
      </c>
      <c r="V64" s="18">
        <v>4</v>
      </c>
      <c r="W64" s="18" t="s">
        <v>225</v>
      </c>
      <c r="X64" s="7" t="s">
        <v>226</v>
      </c>
      <c r="Y64" s="9" t="s">
        <v>175</v>
      </c>
    </row>
    <row r="65" spans="1:25" x14ac:dyDescent="0.25">
      <c r="A65" s="10">
        <v>42870</v>
      </c>
      <c r="B65" s="40" t="s">
        <v>124</v>
      </c>
      <c r="C65" s="40">
        <v>38.29974</v>
      </c>
      <c r="D65" s="40">
        <v>-121.56917</v>
      </c>
      <c r="E65" s="40" t="s">
        <v>227</v>
      </c>
      <c r="F65" s="40" t="s">
        <v>120</v>
      </c>
      <c r="G65" s="40" t="s">
        <v>121</v>
      </c>
      <c r="H65" s="15">
        <v>0.42430555555555555</v>
      </c>
      <c r="I65" s="13" t="s">
        <v>71</v>
      </c>
      <c r="J65" s="13" t="s">
        <v>72</v>
      </c>
      <c r="K65" s="46" t="s">
        <v>222</v>
      </c>
      <c r="L65" s="13">
        <v>2</v>
      </c>
      <c r="M65" s="13">
        <v>10</v>
      </c>
      <c r="N65" s="13" t="s">
        <v>73</v>
      </c>
      <c r="O65" s="13">
        <v>29.5</v>
      </c>
      <c r="P65" s="12">
        <f>AVERAGE(70.6,71.4)</f>
        <v>71</v>
      </c>
      <c r="Q65" s="12">
        <f>AVERAGE(71,72.7)</f>
        <v>71.849999999999994</v>
      </c>
      <c r="R65" s="57">
        <v>0.59333333333333338</v>
      </c>
      <c r="S65" s="57">
        <v>19.266666666666666</v>
      </c>
      <c r="T65" s="57">
        <v>22.633333333333336</v>
      </c>
      <c r="U65" s="13" t="s">
        <v>13</v>
      </c>
      <c r="V65" s="14">
        <v>0</v>
      </c>
      <c r="W65" s="14" t="s">
        <v>13</v>
      </c>
      <c r="X65" s="7" t="s">
        <v>228</v>
      </c>
      <c r="Y65" s="9" t="s">
        <v>175</v>
      </c>
    </row>
    <row r="66" spans="1:25" x14ac:dyDescent="0.25">
      <c r="A66" s="10">
        <v>42870</v>
      </c>
      <c r="B66" s="40" t="s">
        <v>100</v>
      </c>
      <c r="C66" s="40">
        <v>38.050359999999998</v>
      </c>
      <c r="D66" s="40">
        <v>-122.29545</v>
      </c>
      <c r="E66" s="40" t="s">
        <v>229</v>
      </c>
      <c r="F66" s="40" t="s">
        <v>102</v>
      </c>
      <c r="G66" s="40" t="s">
        <v>104</v>
      </c>
      <c r="H66" s="15">
        <v>0.55277777777777781</v>
      </c>
      <c r="I66" s="13" t="s">
        <v>71</v>
      </c>
      <c r="J66" s="13" t="s">
        <v>72</v>
      </c>
      <c r="K66" s="46" t="s">
        <v>222</v>
      </c>
      <c r="L66" s="13">
        <v>2</v>
      </c>
      <c r="M66" s="13">
        <v>10</v>
      </c>
      <c r="N66" s="13" t="s">
        <v>73</v>
      </c>
      <c r="O66" s="13">
        <f>AVERAGE(34.6,44)</f>
        <v>39.299999999999997</v>
      </c>
      <c r="P66" s="12">
        <f>AVERAGE(5613,4054)</f>
        <v>4833.5</v>
      </c>
      <c r="Q66" s="12">
        <f>AVERAGE(14212,12019)</f>
        <v>13115.5</v>
      </c>
      <c r="R66" s="55">
        <v>0.42000000000000004</v>
      </c>
      <c r="S66" s="55">
        <v>34.35</v>
      </c>
      <c r="T66" s="55">
        <v>41.7</v>
      </c>
      <c r="U66" s="13" t="s">
        <v>45</v>
      </c>
      <c r="V66" s="18">
        <v>17</v>
      </c>
      <c r="W66" s="18" t="s">
        <v>230</v>
      </c>
      <c r="Y66" s="9" t="s">
        <v>175</v>
      </c>
    </row>
    <row r="67" spans="1:25" x14ac:dyDescent="0.25">
      <c r="A67" s="17">
        <v>42871</v>
      </c>
      <c r="B67" s="40" t="s">
        <v>69</v>
      </c>
      <c r="C67" s="40">
        <v>38.052439999999997</v>
      </c>
      <c r="D67" s="40">
        <v>-121.68961</v>
      </c>
      <c r="E67" s="40" t="s">
        <v>241</v>
      </c>
      <c r="F67" s="40" t="s">
        <v>70</v>
      </c>
      <c r="G67" s="40" t="s">
        <v>78</v>
      </c>
      <c r="H67" s="15">
        <v>0.3354166666666667</v>
      </c>
      <c r="I67" s="13" t="s">
        <v>242</v>
      </c>
      <c r="J67" s="13" t="s">
        <v>72</v>
      </c>
      <c r="K67" s="46" t="s">
        <v>222</v>
      </c>
      <c r="L67" s="13">
        <v>2</v>
      </c>
      <c r="M67" s="13">
        <v>10</v>
      </c>
      <c r="N67" s="13" t="s">
        <v>73</v>
      </c>
      <c r="O67" s="13">
        <f>AVERAGE(45,48)</f>
        <v>46.5</v>
      </c>
      <c r="P67" s="12">
        <f>AVERAGE(98,95.7)</f>
        <v>96.85</v>
      </c>
      <c r="Q67" s="12">
        <f>AVERAGE(101.7,100.2)</f>
        <v>100.95</v>
      </c>
      <c r="R67" s="55">
        <v>1.1850000000000001</v>
      </c>
      <c r="S67" s="55">
        <v>7.2850000000000001</v>
      </c>
      <c r="T67" s="55">
        <v>8.2800000000000011</v>
      </c>
      <c r="U67" s="13" t="s">
        <v>13</v>
      </c>
      <c r="V67" s="18">
        <v>0</v>
      </c>
      <c r="W67" s="18" t="s">
        <v>13</v>
      </c>
      <c r="Y67" s="9" t="s">
        <v>175</v>
      </c>
    </row>
    <row r="68" spans="1:25" x14ac:dyDescent="0.25">
      <c r="A68" s="17">
        <v>42871</v>
      </c>
      <c r="B68" s="40" t="s">
        <v>100</v>
      </c>
      <c r="C68" s="40">
        <v>38.079590000000003</v>
      </c>
      <c r="D68" s="40">
        <v>-122.06574000000001</v>
      </c>
      <c r="E68" s="40" t="s">
        <v>243</v>
      </c>
      <c r="F68" s="40" t="s">
        <v>102</v>
      </c>
      <c r="G68" s="40" t="s">
        <v>131</v>
      </c>
      <c r="H68" s="15">
        <v>0.39374999999999999</v>
      </c>
      <c r="I68" s="13" t="s">
        <v>242</v>
      </c>
      <c r="J68" s="13" t="s">
        <v>72</v>
      </c>
      <c r="K68" s="46" t="s">
        <v>222</v>
      </c>
      <c r="L68" s="13">
        <v>2</v>
      </c>
      <c r="M68" s="13">
        <v>10</v>
      </c>
      <c r="N68" s="13" t="s">
        <v>73</v>
      </c>
      <c r="O68" s="13">
        <f>AVERAGE(16,16)</f>
        <v>16</v>
      </c>
      <c r="P68" s="12">
        <f>AVERAGE(136.9,104.6)</f>
        <v>120.75</v>
      </c>
      <c r="Q68" s="12">
        <f>AVERAGE(141.1,105.6)</f>
        <v>123.35</v>
      </c>
      <c r="R68" s="55">
        <v>0.53</v>
      </c>
      <c r="S68" s="55">
        <v>23.75</v>
      </c>
      <c r="T68" s="55">
        <v>35.25</v>
      </c>
      <c r="U68" s="13" t="s">
        <v>13</v>
      </c>
      <c r="V68" s="18">
        <v>0</v>
      </c>
      <c r="W68" s="18" t="s">
        <v>13</v>
      </c>
      <c r="Y68" s="9" t="s">
        <v>175</v>
      </c>
    </row>
    <row r="69" spans="1:25" x14ac:dyDescent="0.25">
      <c r="A69" s="17">
        <v>42871</v>
      </c>
      <c r="B69" s="40" t="s">
        <v>69</v>
      </c>
      <c r="C69" s="40">
        <v>38.0426</v>
      </c>
      <c r="D69" s="40">
        <v>-121.57329</v>
      </c>
      <c r="E69" s="40" t="s">
        <v>244</v>
      </c>
      <c r="F69" s="40" t="s">
        <v>70</v>
      </c>
      <c r="G69" s="40" t="s">
        <v>75</v>
      </c>
      <c r="H69" s="15">
        <v>0.39999999999999997</v>
      </c>
      <c r="I69" s="13" t="s">
        <v>242</v>
      </c>
      <c r="J69" s="13" t="s">
        <v>72</v>
      </c>
      <c r="K69" s="46" t="s">
        <v>222</v>
      </c>
      <c r="L69" s="13">
        <v>2</v>
      </c>
      <c r="M69" s="13">
        <v>10</v>
      </c>
      <c r="N69" s="13" t="s">
        <v>73</v>
      </c>
      <c r="O69" s="13">
        <f>AVERAGE(36,32)</f>
        <v>34</v>
      </c>
      <c r="P69" s="12">
        <f>AVERAGE(122.4,123.3)</f>
        <v>122.85</v>
      </c>
      <c r="Q69" s="12">
        <f>AVERAGE(115.5,121.8)</f>
        <v>118.65</v>
      </c>
      <c r="R69" s="55">
        <v>1.4449999999999998</v>
      </c>
      <c r="S69" s="55">
        <v>8.4450000000000003</v>
      </c>
      <c r="T69" s="55">
        <v>11.1</v>
      </c>
      <c r="U69" s="13" t="s">
        <v>13</v>
      </c>
      <c r="V69" s="16">
        <v>0</v>
      </c>
      <c r="W69" s="16" t="s">
        <v>13</v>
      </c>
      <c r="Y69" s="16" t="s">
        <v>175</v>
      </c>
    </row>
    <row r="70" spans="1:25" x14ac:dyDescent="0.25">
      <c r="A70" s="17">
        <v>42871</v>
      </c>
      <c r="B70" s="40" t="s">
        <v>79</v>
      </c>
      <c r="C70" s="40">
        <v>38.050519999999999</v>
      </c>
      <c r="D70" s="40">
        <v>-121.88195</v>
      </c>
      <c r="E70" s="40" t="s">
        <v>245</v>
      </c>
      <c r="F70" s="40" t="s">
        <v>83</v>
      </c>
      <c r="G70" s="40" t="s">
        <v>145</v>
      </c>
      <c r="H70" s="15">
        <v>0.54791666666666672</v>
      </c>
      <c r="I70" s="13" t="s">
        <v>242</v>
      </c>
      <c r="J70" s="13" t="s">
        <v>72</v>
      </c>
      <c r="K70" s="46" t="s">
        <v>222</v>
      </c>
      <c r="L70" s="13">
        <v>2</v>
      </c>
      <c r="M70" s="13">
        <v>10</v>
      </c>
      <c r="N70" s="13" t="s">
        <v>73</v>
      </c>
      <c r="O70" s="13">
        <f>AVERAGE(41,41)</f>
        <v>41</v>
      </c>
      <c r="P70" s="12">
        <f>AVERAGE(86.5,84.5)</f>
        <v>85.5</v>
      </c>
      <c r="Q70" s="12">
        <f>AVERAGE(82.6,80.6)</f>
        <v>81.599999999999994</v>
      </c>
      <c r="R70" s="55">
        <v>0.73</v>
      </c>
      <c r="S70" s="55">
        <v>20.5</v>
      </c>
      <c r="T70" s="55">
        <v>27.25</v>
      </c>
      <c r="U70" s="13" t="s">
        <v>13</v>
      </c>
      <c r="V70" s="14">
        <v>0</v>
      </c>
      <c r="W70" s="14" t="s">
        <v>13</v>
      </c>
      <c r="Y70" s="14" t="s">
        <v>175</v>
      </c>
    </row>
    <row r="71" spans="1:25" x14ac:dyDescent="0.25">
      <c r="A71" s="17">
        <v>42871</v>
      </c>
      <c r="B71" s="40" t="s">
        <v>79</v>
      </c>
      <c r="C71" s="40">
        <v>38.060699999999997</v>
      </c>
      <c r="D71" s="40">
        <v>-122.04627000000001</v>
      </c>
      <c r="E71" s="40" t="s">
        <v>246</v>
      </c>
      <c r="F71" s="40" t="s">
        <v>83</v>
      </c>
      <c r="G71" s="40" t="s">
        <v>84</v>
      </c>
      <c r="H71" s="15">
        <v>0.46597222222222223</v>
      </c>
      <c r="I71" s="13" t="s">
        <v>242</v>
      </c>
      <c r="J71" s="13" t="s">
        <v>72</v>
      </c>
      <c r="K71" s="46" t="s">
        <v>222</v>
      </c>
      <c r="L71" s="13">
        <v>2</v>
      </c>
      <c r="M71" s="13">
        <v>10</v>
      </c>
      <c r="N71" s="13" t="s">
        <v>73</v>
      </c>
      <c r="O71" s="13">
        <v>30</v>
      </c>
      <c r="P71" s="12">
        <f>AVERAGE(93.1,92.3)</f>
        <v>92.699999999999989</v>
      </c>
      <c r="Q71" s="12">
        <f>AVERAGE(93.2,92.3)</f>
        <v>92.75</v>
      </c>
      <c r="R71" s="55">
        <v>0.59499999999999997</v>
      </c>
      <c r="S71" s="55">
        <v>24.4</v>
      </c>
      <c r="T71" s="55">
        <v>25.5</v>
      </c>
      <c r="U71" s="13" t="s">
        <v>13</v>
      </c>
      <c r="V71" s="14">
        <v>0</v>
      </c>
      <c r="W71" s="14" t="s">
        <v>13</v>
      </c>
      <c r="Y71" s="14" t="s">
        <v>175</v>
      </c>
    </row>
    <row r="72" spans="1:25" x14ac:dyDescent="0.25">
      <c r="A72" s="17">
        <v>42871</v>
      </c>
      <c r="B72" s="40" t="s">
        <v>69</v>
      </c>
      <c r="C72" s="40">
        <v>38.00497</v>
      </c>
      <c r="D72" s="40">
        <v>-121.54687</v>
      </c>
      <c r="E72" s="40" t="s">
        <v>247</v>
      </c>
      <c r="F72" s="40" t="s">
        <v>70</v>
      </c>
      <c r="G72" s="40" t="s">
        <v>142</v>
      </c>
      <c r="H72" s="15">
        <v>0.44027777777777777</v>
      </c>
      <c r="I72" s="13" t="s">
        <v>242</v>
      </c>
      <c r="J72" s="13" t="s">
        <v>72</v>
      </c>
      <c r="K72" s="46" t="s">
        <v>222</v>
      </c>
      <c r="L72" s="13">
        <v>2</v>
      </c>
      <c r="M72" s="13">
        <v>10</v>
      </c>
      <c r="N72" s="13" t="s">
        <v>73</v>
      </c>
      <c r="O72" s="13">
        <f>AVERAGE(18,17)</f>
        <v>17.5</v>
      </c>
      <c r="P72" s="12">
        <f>AVERAGE(122.3,122.4)</f>
        <v>122.35</v>
      </c>
      <c r="Q72" s="12">
        <f>AVERAGE(122.4,122.3)</f>
        <v>122.35</v>
      </c>
      <c r="R72" s="55">
        <v>1.155</v>
      </c>
      <c r="S72" s="55">
        <v>8.5749999999999993</v>
      </c>
      <c r="T72" s="55">
        <v>11.375</v>
      </c>
      <c r="U72" s="13" t="s">
        <v>13</v>
      </c>
      <c r="V72" s="14">
        <v>0</v>
      </c>
      <c r="W72" s="14" t="s">
        <v>13</v>
      </c>
      <c r="Y72" s="14" t="s">
        <v>175</v>
      </c>
    </row>
    <row r="73" spans="1:25" x14ac:dyDescent="0.25">
      <c r="A73" s="17">
        <v>42871</v>
      </c>
      <c r="B73" s="40" t="s">
        <v>79</v>
      </c>
      <c r="C73" s="40">
        <v>38.065640000000002</v>
      </c>
      <c r="D73" s="40">
        <v>-121.96544</v>
      </c>
      <c r="E73" s="40" t="s">
        <v>248</v>
      </c>
      <c r="F73" s="40" t="s">
        <v>83</v>
      </c>
      <c r="G73" s="40" t="s">
        <v>98</v>
      </c>
      <c r="H73" s="15">
        <v>0.50486111111111109</v>
      </c>
      <c r="I73" s="13" t="s">
        <v>242</v>
      </c>
      <c r="J73" s="13" t="s">
        <v>72</v>
      </c>
      <c r="K73" s="46" t="s">
        <v>222</v>
      </c>
      <c r="L73" s="13">
        <v>2</v>
      </c>
      <c r="M73" s="13">
        <v>10</v>
      </c>
      <c r="N73" s="13" t="s">
        <v>73</v>
      </c>
      <c r="O73" s="13">
        <f>AVERAGE(12,15)</f>
        <v>13.5</v>
      </c>
      <c r="P73" s="12">
        <f>AVERAGE(97,94.1)</f>
        <v>95.55</v>
      </c>
      <c r="Q73" s="12">
        <f>AVERAGE(96.4,94.6)</f>
        <v>95.5</v>
      </c>
      <c r="R73" s="55">
        <v>0.59499999999999997</v>
      </c>
      <c r="S73" s="55">
        <v>27.8</v>
      </c>
      <c r="T73" s="55">
        <v>34.099999999999994</v>
      </c>
      <c r="U73" s="13" t="s">
        <v>14</v>
      </c>
      <c r="V73" s="14">
        <v>1</v>
      </c>
      <c r="W73" s="14">
        <v>10.5</v>
      </c>
      <c r="Y73" s="14" t="s">
        <v>175</v>
      </c>
    </row>
    <row r="74" spans="1:25" x14ac:dyDescent="0.25">
      <c r="A74" s="17">
        <v>42872</v>
      </c>
      <c r="B74" s="40" t="s">
        <v>69</v>
      </c>
      <c r="C74" s="40">
        <v>38.09843</v>
      </c>
      <c r="D74" s="40">
        <v>-121.58872</v>
      </c>
      <c r="E74" s="40" t="s">
        <v>249</v>
      </c>
      <c r="F74" s="40" t="s">
        <v>70</v>
      </c>
      <c r="G74" s="40" t="s">
        <v>140</v>
      </c>
      <c r="H74" s="15">
        <v>0.48958333333333331</v>
      </c>
      <c r="I74" s="13" t="s">
        <v>242</v>
      </c>
      <c r="J74" s="13" t="s">
        <v>72</v>
      </c>
      <c r="K74" s="46" t="s">
        <v>222</v>
      </c>
      <c r="L74" s="13">
        <v>2</v>
      </c>
      <c r="M74" s="13">
        <v>10</v>
      </c>
      <c r="N74" s="13" t="s">
        <v>73</v>
      </c>
      <c r="O74" s="13">
        <f>AVERAGE(40,40)</f>
        <v>40</v>
      </c>
      <c r="P74" s="12">
        <f>AVERAGE(79.2,80.7)</f>
        <v>79.95</v>
      </c>
      <c r="Q74" s="12">
        <f>AVERAGE(76.4,78)</f>
        <v>77.2</v>
      </c>
      <c r="R74" s="55">
        <v>1.31</v>
      </c>
      <c r="S74" s="55">
        <v>8.26</v>
      </c>
      <c r="T74" s="55">
        <v>14.1</v>
      </c>
      <c r="U74" s="13" t="s">
        <v>13</v>
      </c>
      <c r="V74" s="14">
        <v>0</v>
      </c>
      <c r="W74" s="14" t="s">
        <v>13</v>
      </c>
      <c r="Y74" s="14" t="s">
        <v>175</v>
      </c>
    </row>
    <row r="75" spans="1:25" x14ac:dyDescent="0.25">
      <c r="A75" s="17">
        <v>42872</v>
      </c>
      <c r="B75" s="40" t="s">
        <v>69</v>
      </c>
      <c r="C75" s="40">
        <v>37.862879999999997</v>
      </c>
      <c r="D75" s="40">
        <v>-121.55198</v>
      </c>
      <c r="E75" s="40" t="s">
        <v>250</v>
      </c>
      <c r="F75" s="40" t="s">
        <v>70</v>
      </c>
      <c r="G75" s="40" t="s">
        <v>168</v>
      </c>
      <c r="H75" s="15">
        <v>0.3611111111111111</v>
      </c>
      <c r="I75" s="13" t="s">
        <v>242</v>
      </c>
      <c r="J75" s="13" t="s">
        <v>72</v>
      </c>
      <c r="K75" s="46" t="s">
        <v>222</v>
      </c>
      <c r="L75" s="13">
        <v>2</v>
      </c>
      <c r="M75" s="13">
        <v>10</v>
      </c>
      <c r="N75" s="13" t="s">
        <v>73</v>
      </c>
      <c r="O75" s="13">
        <f>AVERAGE(15,15)</f>
        <v>15</v>
      </c>
      <c r="P75" s="12">
        <f>AVERAGE(73.5,73.6)</f>
        <v>73.55</v>
      </c>
      <c r="Q75" s="12">
        <f>AVERAGE(74.5,74.5)</f>
        <v>74.5</v>
      </c>
      <c r="R75" s="55">
        <v>0.65</v>
      </c>
      <c r="S75" s="55">
        <v>11.094999999999999</v>
      </c>
      <c r="T75" s="55">
        <v>13.5</v>
      </c>
      <c r="U75" s="13" t="s">
        <v>13</v>
      </c>
      <c r="V75" s="14">
        <v>0</v>
      </c>
      <c r="W75" s="14" t="s">
        <v>13</v>
      </c>
      <c r="Y75" s="14" t="s">
        <v>175</v>
      </c>
    </row>
    <row r="76" spans="1:25" x14ac:dyDescent="0.25">
      <c r="A76" s="17">
        <v>42872</v>
      </c>
      <c r="B76" s="40" t="s">
        <v>69</v>
      </c>
      <c r="C76" s="40">
        <v>37.819949999999999</v>
      </c>
      <c r="D76" s="40">
        <v>-121.52067</v>
      </c>
      <c r="E76" s="40" t="s">
        <v>252</v>
      </c>
      <c r="F76" s="40" t="s">
        <v>70</v>
      </c>
      <c r="G76" s="40" t="s">
        <v>251</v>
      </c>
      <c r="H76" s="15">
        <v>0.40208333333333335</v>
      </c>
      <c r="I76" s="13" t="s">
        <v>242</v>
      </c>
      <c r="J76" s="13" t="s">
        <v>72</v>
      </c>
      <c r="K76" s="46" t="s">
        <v>222</v>
      </c>
      <c r="L76" s="13">
        <v>2</v>
      </c>
      <c r="M76" s="13">
        <v>10</v>
      </c>
      <c r="N76" s="13" t="s">
        <v>73</v>
      </c>
      <c r="O76" s="13">
        <f>AVERAGE(17,17.5)</f>
        <v>17.25</v>
      </c>
      <c r="P76" s="12">
        <f>AVERAGE(71.6,70.9)</f>
        <v>71.25</v>
      </c>
      <c r="Q76" s="12">
        <f>AVERAGE(36,72.9)</f>
        <v>54.45</v>
      </c>
      <c r="R76" s="55">
        <v>0.65</v>
      </c>
      <c r="S76" s="55">
        <v>15.75</v>
      </c>
      <c r="T76" s="55">
        <v>16.799999999999997</v>
      </c>
      <c r="U76" s="13" t="s">
        <v>13</v>
      </c>
      <c r="V76" s="14">
        <v>0</v>
      </c>
      <c r="W76" s="14" t="s">
        <v>13</v>
      </c>
      <c r="Y76" s="14" t="s">
        <v>175</v>
      </c>
    </row>
    <row r="77" spans="1:25" x14ac:dyDescent="0.25">
      <c r="A77" s="17">
        <v>42872</v>
      </c>
      <c r="B77" s="40" t="s">
        <v>79</v>
      </c>
      <c r="C77" s="40">
        <v>38.052680000000002</v>
      </c>
      <c r="D77" s="40">
        <v>-121.79907</v>
      </c>
      <c r="E77" s="40" t="s">
        <v>253</v>
      </c>
      <c r="F77" s="40" t="s">
        <v>83</v>
      </c>
      <c r="G77" s="40" t="s">
        <v>145</v>
      </c>
      <c r="H77" s="15">
        <v>0.50486111111111109</v>
      </c>
      <c r="I77" s="13" t="s">
        <v>242</v>
      </c>
      <c r="J77" s="13" t="s">
        <v>72</v>
      </c>
      <c r="K77" s="46" t="s">
        <v>222</v>
      </c>
      <c r="L77" s="13">
        <v>2</v>
      </c>
      <c r="M77" s="13">
        <v>10</v>
      </c>
      <c r="N77" s="13" t="s">
        <v>73</v>
      </c>
      <c r="O77" s="13">
        <f>AVERAGE(20,19)</f>
        <v>19.5</v>
      </c>
      <c r="P77" s="12">
        <f>AVERAGE(102,101.1)</f>
        <v>101.55</v>
      </c>
      <c r="Q77" s="12">
        <f>AVERAGE(96.3,95.9)</f>
        <v>96.1</v>
      </c>
      <c r="R77" s="55">
        <v>0.5</v>
      </c>
      <c r="S77" s="55">
        <v>27.7</v>
      </c>
      <c r="T77" s="55">
        <v>71.3</v>
      </c>
      <c r="U77" s="13" t="s">
        <v>13</v>
      </c>
      <c r="V77" s="14">
        <v>0</v>
      </c>
      <c r="W77" s="14" t="s">
        <v>13</v>
      </c>
      <c r="X77" s="47" t="s">
        <v>255</v>
      </c>
      <c r="Y77" s="14" t="s">
        <v>175</v>
      </c>
    </row>
    <row r="78" spans="1:25" x14ac:dyDescent="0.25">
      <c r="A78" s="17">
        <v>42872</v>
      </c>
      <c r="B78" s="40" t="s">
        <v>79</v>
      </c>
      <c r="C78" s="40">
        <v>38.051870000000001</v>
      </c>
      <c r="D78" s="40">
        <v>-121.79985000000001</v>
      </c>
      <c r="E78" s="40" t="s">
        <v>253</v>
      </c>
      <c r="F78" s="40" t="s">
        <v>83</v>
      </c>
      <c r="G78" s="40" t="s">
        <v>145</v>
      </c>
      <c r="H78" s="15">
        <v>0.50416666666666665</v>
      </c>
      <c r="I78" s="13" t="s">
        <v>242</v>
      </c>
      <c r="J78" s="13" t="s">
        <v>156</v>
      </c>
      <c r="K78" s="46" t="s">
        <v>157</v>
      </c>
      <c r="L78" s="13">
        <v>2</v>
      </c>
      <c r="M78" s="13">
        <v>10</v>
      </c>
      <c r="N78" s="13" t="s">
        <v>94</v>
      </c>
      <c r="O78" s="13">
        <v>5</v>
      </c>
      <c r="P78" s="12">
        <f>AVERAGE(91.9,104.6)</f>
        <v>98.25</v>
      </c>
      <c r="Q78" s="12" t="s">
        <v>13</v>
      </c>
      <c r="R78" s="55">
        <v>0.39</v>
      </c>
      <c r="S78" s="55">
        <v>25.25</v>
      </c>
      <c r="T78" s="56" t="s">
        <v>13</v>
      </c>
      <c r="U78" s="13" t="s">
        <v>13</v>
      </c>
      <c r="V78" s="14">
        <v>0</v>
      </c>
      <c r="W78" s="14" t="s">
        <v>13</v>
      </c>
      <c r="X78" s="47" t="s">
        <v>254</v>
      </c>
      <c r="Y78" s="14" t="s">
        <v>175</v>
      </c>
    </row>
    <row r="79" spans="1:25" x14ac:dyDescent="0.25">
      <c r="A79" s="17">
        <v>42872</v>
      </c>
      <c r="B79" s="40" t="s">
        <v>79</v>
      </c>
      <c r="C79" s="40">
        <v>38.122480000000003</v>
      </c>
      <c r="D79" s="40">
        <v>-121.70276</v>
      </c>
      <c r="E79" s="40" t="s">
        <v>256</v>
      </c>
      <c r="F79" s="40" t="s">
        <v>120</v>
      </c>
      <c r="G79" s="40" t="s">
        <v>147</v>
      </c>
      <c r="H79" s="15">
        <v>0.36041666666666666</v>
      </c>
      <c r="I79" s="13" t="s">
        <v>242</v>
      </c>
      <c r="J79" s="13" t="s">
        <v>156</v>
      </c>
      <c r="K79" s="46" t="s">
        <v>157</v>
      </c>
      <c r="L79" s="13">
        <v>2</v>
      </c>
      <c r="M79" s="13">
        <v>10</v>
      </c>
      <c r="N79" s="13" t="s">
        <v>73</v>
      </c>
      <c r="O79" s="13" t="s">
        <v>13</v>
      </c>
      <c r="P79" s="12">
        <f>AVERAGE(84.9,85.5)</f>
        <v>85.2</v>
      </c>
      <c r="Q79" s="13" t="s">
        <v>13</v>
      </c>
      <c r="R79" s="55">
        <v>0.89</v>
      </c>
      <c r="S79" s="55">
        <v>10.475000000000001</v>
      </c>
      <c r="T79" s="13" t="s">
        <v>13</v>
      </c>
      <c r="U79" s="13" t="s">
        <v>13</v>
      </c>
      <c r="V79" s="13">
        <v>0</v>
      </c>
      <c r="W79" s="13" t="s">
        <v>13</v>
      </c>
      <c r="X79" s="47" t="s">
        <v>258</v>
      </c>
      <c r="Y79" s="14" t="s">
        <v>175</v>
      </c>
    </row>
    <row r="80" spans="1:25" x14ac:dyDescent="0.25">
      <c r="A80" s="17">
        <v>42872</v>
      </c>
      <c r="B80" s="40" t="s">
        <v>79</v>
      </c>
      <c r="C80" s="40">
        <v>38.119700000000002</v>
      </c>
      <c r="D80" s="40">
        <v>-121.69673</v>
      </c>
      <c r="E80" s="40" t="s">
        <v>256</v>
      </c>
      <c r="F80" s="40" t="s">
        <v>120</v>
      </c>
      <c r="G80" s="40" t="s">
        <v>147</v>
      </c>
      <c r="H80" s="15">
        <v>0.38263888888888892</v>
      </c>
      <c r="I80" s="13" t="s">
        <v>242</v>
      </c>
      <c r="J80" s="13" t="s">
        <v>72</v>
      </c>
      <c r="K80" s="46" t="s">
        <v>222</v>
      </c>
      <c r="L80" s="13">
        <v>2</v>
      </c>
      <c r="M80" s="13">
        <v>10</v>
      </c>
      <c r="N80" s="13" t="s">
        <v>73</v>
      </c>
      <c r="O80" s="13">
        <f>AVERAGE(14,12)</f>
        <v>13</v>
      </c>
      <c r="P80" s="12">
        <f>AVERAGE(90,92.3)</f>
        <v>91.15</v>
      </c>
      <c r="Q80" s="12">
        <f>AVERAGE(89.8,80.7)</f>
        <v>85.25</v>
      </c>
      <c r="R80" s="55">
        <v>0.98</v>
      </c>
      <c r="S80" s="55">
        <v>9.870000000000001</v>
      </c>
      <c r="T80" s="55">
        <v>20</v>
      </c>
      <c r="U80" s="13" t="s">
        <v>13</v>
      </c>
      <c r="V80" s="13">
        <v>0</v>
      </c>
      <c r="W80" s="13" t="s">
        <v>13</v>
      </c>
      <c r="X80" s="47" t="s">
        <v>257</v>
      </c>
      <c r="Y80" s="16" t="s">
        <v>175</v>
      </c>
    </row>
    <row r="81" spans="1:25" x14ac:dyDescent="0.25">
      <c r="A81" s="17">
        <v>42872</v>
      </c>
      <c r="B81" s="40" t="s">
        <v>79</v>
      </c>
      <c r="C81" s="40">
        <v>38.095730000000003</v>
      </c>
      <c r="D81" s="40">
        <v>-122.02321000000001</v>
      </c>
      <c r="E81" s="40" t="s">
        <v>260</v>
      </c>
      <c r="F81" s="40" t="s">
        <v>83</v>
      </c>
      <c r="G81" s="40" t="s">
        <v>259</v>
      </c>
      <c r="H81" s="15">
        <v>0.4513888888888889</v>
      </c>
      <c r="I81" s="13" t="s">
        <v>242</v>
      </c>
      <c r="J81" s="13" t="s">
        <v>72</v>
      </c>
      <c r="K81" s="46" t="s">
        <v>222</v>
      </c>
      <c r="L81" s="13">
        <v>2</v>
      </c>
      <c r="M81" s="13">
        <v>10</v>
      </c>
      <c r="N81" s="13" t="s">
        <v>73</v>
      </c>
      <c r="O81" s="13">
        <f>AVERAGE(29,32)</f>
        <v>30.5</v>
      </c>
      <c r="P81" s="12">
        <f>AVERAGE(112.9,112.4)</f>
        <v>112.65</v>
      </c>
      <c r="Q81" s="12">
        <f>AVERAGE(112,113)</f>
        <v>112.5</v>
      </c>
      <c r="R81" s="55">
        <v>0.53500000000000003</v>
      </c>
      <c r="S81" s="55">
        <v>32.15</v>
      </c>
      <c r="T81" s="55">
        <v>58.2</v>
      </c>
      <c r="U81" s="13" t="s">
        <v>13</v>
      </c>
      <c r="V81" s="18">
        <v>0</v>
      </c>
      <c r="W81" s="18" t="s">
        <v>13</v>
      </c>
      <c r="Y81" s="9" t="s">
        <v>175</v>
      </c>
    </row>
    <row r="82" spans="1:25" x14ac:dyDescent="0.25">
      <c r="A82" s="17">
        <v>42872</v>
      </c>
      <c r="B82" s="40" t="s">
        <v>69</v>
      </c>
      <c r="C82" s="40">
        <v>38.04092</v>
      </c>
      <c r="D82" s="40">
        <v>-121.59408999999999</v>
      </c>
      <c r="E82" s="40" t="s">
        <v>261</v>
      </c>
      <c r="F82" s="40" t="s">
        <v>70</v>
      </c>
      <c r="G82" s="40" t="s">
        <v>152</v>
      </c>
      <c r="H82" s="15">
        <v>0.4680555555555555</v>
      </c>
      <c r="I82" s="13" t="s">
        <v>242</v>
      </c>
      <c r="J82" s="13" t="s">
        <v>72</v>
      </c>
      <c r="K82" s="46" t="s">
        <v>222</v>
      </c>
      <c r="L82" s="13">
        <v>0</v>
      </c>
      <c r="M82" s="13">
        <v>0</v>
      </c>
      <c r="N82" s="13" t="s">
        <v>13</v>
      </c>
      <c r="O82" s="13" t="s">
        <v>13</v>
      </c>
      <c r="P82" s="13" t="s">
        <v>13</v>
      </c>
      <c r="Q82" s="13" t="s">
        <v>13</v>
      </c>
      <c r="R82" s="13" t="s">
        <v>13</v>
      </c>
      <c r="S82" s="13" t="s">
        <v>13</v>
      </c>
      <c r="T82" s="13" t="s">
        <v>13</v>
      </c>
      <c r="U82" s="13" t="s">
        <v>13</v>
      </c>
      <c r="V82" s="13" t="s">
        <v>13</v>
      </c>
      <c r="W82" s="13" t="s">
        <v>13</v>
      </c>
      <c r="X82" s="47" t="s">
        <v>262</v>
      </c>
      <c r="Y82" s="42" t="s">
        <v>175</v>
      </c>
    </row>
    <row r="83" spans="1:25" x14ac:dyDescent="0.25">
      <c r="A83" s="17">
        <v>42877</v>
      </c>
      <c r="B83" s="40" t="s">
        <v>69</v>
      </c>
      <c r="C83" s="40">
        <v>37.938519999999997</v>
      </c>
      <c r="D83" s="40">
        <v>-121.55295</v>
      </c>
      <c r="E83" s="40" t="s">
        <v>267</v>
      </c>
      <c r="F83" s="40" t="s">
        <v>70</v>
      </c>
      <c r="G83" s="40" t="s">
        <v>268</v>
      </c>
      <c r="H83" s="15">
        <v>0.34027777777777773</v>
      </c>
      <c r="I83" s="13" t="s">
        <v>71</v>
      </c>
      <c r="J83" s="13" t="s">
        <v>72</v>
      </c>
      <c r="K83" s="46" t="s">
        <v>222</v>
      </c>
      <c r="L83" s="13">
        <v>2</v>
      </c>
      <c r="M83" s="13">
        <v>10</v>
      </c>
      <c r="N83" s="13" t="s">
        <v>73</v>
      </c>
      <c r="O83" s="13">
        <v>11</v>
      </c>
      <c r="P83" s="12">
        <f>AVERAGE(107.2,107.1)</f>
        <v>107.15</v>
      </c>
      <c r="Q83" s="12">
        <f>AVERAGE(109.3,108.2)</f>
        <v>108.75</v>
      </c>
      <c r="R83" s="55">
        <v>0.66999999999999993</v>
      </c>
      <c r="S83" s="55">
        <v>18.7</v>
      </c>
      <c r="T83" s="55">
        <v>56.65</v>
      </c>
      <c r="U83" s="13" t="s">
        <v>13</v>
      </c>
      <c r="V83" s="14">
        <v>0</v>
      </c>
      <c r="W83" s="14" t="s">
        <v>13</v>
      </c>
      <c r="Y83" s="16" t="s">
        <v>175</v>
      </c>
    </row>
    <row r="84" spans="1:25" x14ac:dyDescent="0.25">
      <c r="A84" s="17">
        <v>42877</v>
      </c>
      <c r="B84" s="40" t="s">
        <v>69</v>
      </c>
      <c r="C84" s="40">
        <v>38.084470000000003</v>
      </c>
      <c r="D84" s="40">
        <v>-121.64568</v>
      </c>
      <c r="E84" s="40" t="s">
        <v>269</v>
      </c>
      <c r="F84" s="40" t="s">
        <v>70</v>
      </c>
      <c r="G84" s="40" t="s">
        <v>152</v>
      </c>
      <c r="H84" s="15">
        <v>0.40763888888888888</v>
      </c>
      <c r="I84" s="13" t="s">
        <v>71</v>
      </c>
      <c r="J84" s="13" t="s">
        <v>72</v>
      </c>
      <c r="K84" s="46" t="s">
        <v>222</v>
      </c>
      <c r="L84" s="13">
        <v>2</v>
      </c>
      <c r="M84" s="13">
        <v>10</v>
      </c>
      <c r="N84" s="13" t="s">
        <v>73</v>
      </c>
      <c r="O84" s="13">
        <f>AVERAGE(26.7,25)</f>
        <v>25.85</v>
      </c>
      <c r="P84" s="12">
        <f>AVERAGE(93.6,95.3)</f>
        <v>94.449999999999989</v>
      </c>
      <c r="Q84" s="12">
        <f>AVERAGE(109.2,95.3)</f>
        <v>102.25</v>
      </c>
      <c r="R84" s="55">
        <v>0.77500000000000002</v>
      </c>
      <c r="S84" s="55">
        <v>18.399999999999999</v>
      </c>
      <c r="T84" s="55">
        <v>83.9</v>
      </c>
      <c r="U84" s="13" t="s">
        <v>13</v>
      </c>
      <c r="V84" s="14">
        <v>0</v>
      </c>
      <c r="W84" s="14" t="s">
        <v>13</v>
      </c>
      <c r="Y84" s="16" t="s">
        <v>175</v>
      </c>
    </row>
    <row r="85" spans="1:25" x14ac:dyDescent="0.25">
      <c r="A85" s="17">
        <v>42877</v>
      </c>
      <c r="B85" s="40" t="s">
        <v>69</v>
      </c>
      <c r="C85" s="40">
        <v>38.054470000000002</v>
      </c>
      <c r="D85" s="40">
        <v>-121.52315</v>
      </c>
      <c r="E85" s="40" t="s">
        <v>270</v>
      </c>
      <c r="F85" s="40" t="s">
        <v>70</v>
      </c>
      <c r="G85" s="40" t="s">
        <v>140</v>
      </c>
      <c r="H85" s="15">
        <v>0.45763888888888887</v>
      </c>
      <c r="I85" s="13" t="s">
        <v>71</v>
      </c>
      <c r="J85" s="13" t="s">
        <v>72</v>
      </c>
      <c r="K85" s="46" t="s">
        <v>222</v>
      </c>
      <c r="L85" s="13">
        <v>2</v>
      </c>
      <c r="M85" s="13">
        <v>10</v>
      </c>
      <c r="N85" s="13" t="s">
        <v>73</v>
      </c>
      <c r="O85" s="13">
        <v>17</v>
      </c>
      <c r="P85" s="12">
        <f>AVERAGE(109.1,112)</f>
        <v>110.55</v>
      </c>
      <c r="Q85" s="12">
        <f>AVERAGE(112.3,109.7)</f>
        <v>111</v>
      </c>
      <c r="R85" s="55">
        <v>0.66999999999999993</v>
      </c>
      <c r="S85" s="55">
        <v>18.7</v>
      </c>
      <c r="T85" s="55">
        <v>56.65</v>
      </c>
      <c r="U85" s="13" t="s">
        <v>13</v>
      </c>
      <c r="V85" s="14">
        <v>0</v>
      </c>
      <c r="W85" s="14" t="s">
        <v>13</v>
      </c>
      <c r="X85" s="7" t="s">
        <v>271</v>
      </c>
      <c r="Y85" s="16" t="s">
        <v>175</v>
      </c>
    </row>
    <row r="86" spans="1:25" x14ac:dyDescent="0.25">
      <c r="A86" s="17">
        <v>42877</v>
      </c>
      <c r="B86" s="40" t="s">
        <v>100</v>
      </c>
      <c r="C86" s="40">
        <v>38.047800000000002</v>
      </c>
      <c r="D86" s="40">
        <v>-122.32315</v>
      </c>
      <c r="E86" s="40" t="s">
        <v>272</v>
      </c>
      <c r="F86" s="40" t="s">
        <v>102</v>
      </c>
      <c r="G86" s="40" t="s">
        <v>104</v>
      </c>
      <c r="H86" s="15">
        <v>0.3972222222222222</v>
      </c>
      <c r="I86" s="13" t="s">
        <v>71</v>
      </c>
      <c r="J86" s="13" t="s">
        <v>72</v>
      </c>
      <c r="K86" s="46" t="s">
        <v>222</v>
      </c>
      <c r="L86" s="13">
        <v>2</v>
      </c>
      <c r="M86" s="13">
        <v>10</v>
      </c>
      <c r="N86" s="13" t="s">
        <v>94</v>
      </c>
      <c r="O86" s="13">
        <f>AVERAGE(31.5,32.1)</f>
        <v>31.8</v>
      </c>
      <c r="P86" s="12">
        <f>AVERAGE(13567,13517)</f>
        <v>13542</v>
      </c>
      <c r="Q86" s="12">
        <f>AVERAGE(25593,26272)</f>
        <v>25932.5</v>
      </c>
      <c r="R86" s="55">
        <v>0.70499999999999996</v>
      </c>
      <c r="S86" s="55">
        <v>31.3</v>
      </c>
      <c r="T86" s="55">
        <v>129.5</v>
      </c>
      <c r="U86" s="13" t="s">
        <v>45</v>
      </c>
      <c r="V86" s="13">
        <v>1</v>
      </c>
      <c r="W86" s="13">
        <v>37</v>
      </c>
      <c r="Y86" s="16" t="s">
        <v>175</v>
      </c>
    </row>
    <row r="87" spans="1:25" x14ac:dyDescent="0.25">
      <c r="A87" s="17">
        <v>42877</v>
      </c>
      <c r="B87" s="40" t="s">
        <v>100</v>
      </c>
      <c r="C87" s="40">
        <v>38.042380000000001</v>
      </c>
      <c r="D87" s="40">
        <v>-122.17127000000001</v>
      </c>
      <c r="E87" s="40" t="s">
        <v>273</v>
      </c>
      <c r="F87" s="40" t="s">
        <v>102</v>
      </c>
      <c r="G87" s="40" t="s">
        <v>105</v>
      </c>
      <c r="H87" s="15">
        <v>0.44722222222222219</v>
      </c>
      <c r="I87" s="13" t="s">
        <v>71</v>
      </c>
      <c r="J87" s="13" t="s">
        <v>72</v>
      </c>
      <c r="K87" s="46" t="s">
        <v>222</v>
      </c>
      <c r="L87" s="13">
        <v>2</v>
      </c>
      <c r="M87" s="13">
        <v>10</v>
      </c>
      <c r="N87" s="13" t="s">
        <v>94</v>
      </c>
      <c r="O87" s="13">
        <f>AVERAGE(80.9,79.5)</f>
        <v>80.2</v>
      </c>
      <c r="P87" s="12">
        <f>AVERAGE(5700,5935)</f>
        <v>5817.5</v>
      </c>
      <c r="Q87" s="12">
        <f>AVERAGE(9615,15194)</f>
        <v>12404.5</v>
      </c>
      <c r="R87" s="55">
        <v>0.61</v>
      </c>
      <c r="S87" s="55">
        <v>59.2</v>
      </c>
      <c r="T87" s="55">
        <v>112.8</v>
      </c>
      <c r="U87" s="13" t="s">
        <v>45</v>
      </c>
      <c r="V87" s="18">
        <v>1</v>
      </c>
      <c r="W87" s="18">
        <v>29</v>
      </c>
      <c r="Y87" s="9" t="s">
        <v>175</v>
      </c>
    </row>
    <row r="88" spans="1:25" x14ac:dyDescent="0.25">
      <c r="A88" s="17">
        <v>42877</v>
      </c>
      <c r="B88" s="40" t="s">
        <v>100</v>
      </c>
      <c r="C88" s="40">
        <v>38.035789999999999</v>
      </c>
      <c r="D88" s="40">
        <v>-122.15365</v>
      </c>
      <c r="E88" s="40" t="s">
        <v>274</v>
      </c>
      <c r="F88" s="40" t="s">
        <v>102</v>
      </c>
      <c r="G88" s="40" t="s">
        <v>105</v>
      </c>
      <c r="H88" s="15">
        <v>0.4993055555555555</v>
      </c>
      <c r="I88" s="13" t="s">
        <v>71</v>
      </c>
      <c r="J88" s="13" t="s">
        <v>72</v>
      </c>
      <c r="K88" s="46" t="s">
        <v>222</v>
      </c>
      <c r="L88" s="13">
        <v>2</v>
      </c>
      <c r="M88" s="13">
        <v>10</v>
      </c>
      <c r="N88" s="13" t="s">
        <v>94</v>
      </c>
      <c r="O88" s="13">
        <f>AVERAGE(29.8,33.7)</f>
        <v>31.75</v>
      </c>
      <c r="P88" s="12">
        <f>AVERAGE(5948,6253)</f>
        <v>6100.5</v>
      </c>
      <c r="Q88" s="12">
        <f>AVERAGE(13554,13655)</f>
        <v>13604.5</v>
      </c>
      <c r="R88" s="55">
        <v>0.54499999999999993</v>
      </c>
      <c r="S88" s="55">
        <v>20.549999999999997</v>
      </c>
      <c r="T88" s="55">
        <v>32.25</v>
      </c>
      <c r="U88" s="13" t="s">
        <v>45</v>
      </c>
      <c r="V88" s="14">
        <v>1</v>
      </c>
      <c r="W88" s="14">
        <v>30</v>
      </c>
      <c r="Y88" s="14" t="s">
        <v>175</v>
      </c>
    </row>
    <row r="89" spans="1:25" x14ac:dyDescent="0.25">
      <c r="A89" s="17">
        <v>42878</v>
      </c>
      <c r="B89" s="40" t="s">
        <v>69</v>
      </c>
      <c r="C89" s="40">
        <v>38.053460000000001</v>
      </c>
      <c r="D89" s="40">
        <v>-121.46427</v>
      </c>
      <c r="E89" s="40" t="s">
        <v>275</v>
      </c>
      <c r="F89" s="40" t="s">
        <v>70</v>
      </c>
      <c r="G89" s="40" t="s">
        <v>93</v>
      </c>
      <c r="H89" s="15">
        <v>0.32083333333333336</v>
      </c>
      <c r="I89" s="13" t="s">
        <v>71</v>
      </c>
      <c r="J89" s="13" t="s">
        <v>72</v>
      </c>
      <c r="K89" s="46" t="s">
        <v>222</v>
      </c>
      <c r="L89" s="13">
        <v>2</v>
      </c>
      <c r="M89" s="13">
        <v>10</v>
      </c>
      <c r="N89" s="13" t="s">
        <v>73</v>
      </c>
      <c r="O89" s="13">
        <v>17.5</v>
      </c>
      <c r="P89" s="12">
        <f>AVERAGE(111.7,111.1)</f>
        <v>111.4</v>
      </c>
      <c r="Q89" s="12">
        <f>AVERAGE(116.5,116.3)</f>
        <v>116.4</v>
      </c>
      <c r="R89" s="55">
        <v>1.27</v>
      </c>
      <c r="S89" s="55">
        <v>4.99</v>
      </c>
      <c r="T89" s="55">
        <v>8.5749999999999993</v>
      </c>
      <c r="U89" s="13" t="s">
        <v>13</v>
      </c>
      <c r="V89" s="14">
        <v>0</v>
      </c>
      <c r="W89" s="14" t="s">
        <v>13</v>
      </c>
      <c r="Y89" s="14" t="s">
        <v>175</v>
      </c>
    </row>
    <row r="90" spans="1:25" x14ac:dyDescent="0.25">
      <c r="A90" s="17">
        <v>42878</v>
      </c>
      <c r="B90" s="40" t="s">
        <v>69</v>
      </c>
      <c r="C90" s="40">
        <v>38.105409999999999</v>
      </c>
      <c r="D90" s="40">
        <v>-121.60648</v>
      </c>
      <c r="E90" s="40" t="s">
        <v>276</v>
      </c>
      <c r="F90" s="40" t="s">
        <v>70</v>
      </c>
      <c r="G90" s="40" t="s">
        <v>78</v>
      </c>
      <c r="H90" s="15">
        <v>0.4458333333333333</v>
      </c>
      <c r="I90" s="13" t="s">
        <v>71</v>
      </c>
      <c r="J90" s="13" t="s">
        <v>72</v>
      </c>
      <c r="K90" s="46" t="s">
        <v>222</v>
      </c>
      <c r="L90" s="13">
        <v>2</v>
      </c>
      <c r="M90" s="13">
        <v>10</v>
      </c>
      <c r="N90" s="13" t="s">
        <v>73</v>
      </c>
      <c r="O90" s="13">
        <v>26</v>
      </c>
      <c r="P90" s="12">
        <f>AVERAGE(88.7,90.5)</f>
        <v>89.6</v>
      </c>
      <c r="Q90" s="12">
        <f>AVERAGE(88.2,83)</f>
        <v>85.6</v>
      </c>
      <c r="R90" s="55">
        <v>1.19</v>
      </c>
      <c r="S90" s="55">
        <v>8.6149999999999984</v>
      </c>
      <c r="T90" s="55">
        <v>12.350000000000001</v>
      </c>
      <c r="U90" s="13" t="s">
        <v>13</v>
      </c>
      <c r="V90" s="14">
        <v>0</v>
      </c>
      <c r="W90" s="14" t="s">
        <v>13</v>
      </c>
      <c r="Y90" s="16" t="s">
        <v>175</v>
      </c>
    </row>
    <row r="91" spans="1:25" x14ac:dyDescent="0.25">
      <c r="A91" s="17">
        <v>42878</v>
      </c>
      <c r="B91" s="40" t="s">
        <v>79</v>
      </c>
      <c r="C91" s="40">
        <v>38.283880000000003</v>
      </c>
      <c r="D91" s="40">
        <v>-121.71635000000001</v>
      </c>
      <c r="E91" s="40" t="s">
        <v>277</v>
      </c>
      <c r="F91" s="40" t="s">
        <v>120</v>
      </c>
      <c r="G91" s="40" t="s">
        <v>189</v>
      </c>
      <c r="H91" s="15">
        <v>0.47430555555555554</v>
      </c>
      <c r="I91" s="13" t="s">
        <v>71</v>
      </c>
      <c r="J91" s="13" t="s">
        <v>72</v>
      </c>
      <c r="K91" s="46" t="s">
        <v>222</v>
      </c>
      <c r="L91" s="13">
        <v>2</v>
      </c>
      <c r="M91" s="13">
        <v>10</v>
      </c>
      <c r="N91" s="13" t="s">
        <v>94</v>
      </c>
      <c r="O91" s="13">
        <f>AVERAGE(14.6,12.4)</f>
        <v>13.5</v>
      </c>
      <c r="P91" s="12">
        <f>AVERAGE(265.8,275.4)</f>
        <v>270.60000000000002</v>
      </c>
      <c r="Q91" s="12">
        <f>AVERAGE(267.8,271.4)</f>
        <v>269.60000000000002</v>
      </c>
      <c r="R91" s="55">
        <v>0.59</v>
      </c>
      <c r="S91" s="55">
        <v>20.45</v>
      </c>
      <c r="T91" s="55">
        <v>32</v>
      </c>
      <c r="U91" s="13" t="s">
        <v>13</v>
      </c>
      <c r="V91" s="14">
        <v>0</v>
      </c>
      <c r="W91" s="14" t="s">
        <v>13</v>
      </c>
      <c r="Y91" s="14" t="s">
        <v>175</v>
      </c>
    </row>
    <row r="92" spans="1:25" x14ac:dyDescent="0.25">
      <c r="A92" s="17">
        <v>42878</v>
      </c>
      <c r="B92" s="40" t="s">
        <v>69</v>
      </c>
      <c r="C92" s="40">
        <v>37.950069999999997</v>
      </c>
      <c r="D92" s="40">
        <v>-121.44861</v>
      </c>
      <c r="E92" s="40" t="s">
        <v>278</v>
      </c>
      <c r="F92" s="40" t="s">
        <v>70</v>
      </c>
      <c r="G92" s="40" t="s">
        <v>142</v>
      </c>
      <c r="H92" s="15">
        <v>0.38125000000000003</v>
      </c>
      <c r="I92" s="13" t="s">
        <v>71</v>
      </c>
      <c r="J92" s="13" t="s">
        <v>72</v>
      </c>
      <c r="K92" s="46" t="s">
        <v>222</v>
      </c>
      <c r="L92" s="13">
        <v>2</v>
      </c>
      <c r="M92" s="13">
        <v>10</v>
      </c>
      <c r="N92" s="13" t="s">
        <v>94</v>
      </c>
      <c r="O92" s="13">
        <v>15.5</v>
      </c>
      <c r="P92" s="12">
        <f>AVERAGE(427.8,430.2)</f>
        <v>429</v>
      </c>
      <c r="Q92" s="12">
        <f>AVERAGE(427.1,428.2)</f>
        <v>427.65</v>
      </c>
      <c r="R92" s="55">
        <v>1.2250000000000001</v>
      </c>
      <c r="S92" s="55">
        <v>7.0350000000000001</v>
      </c>
      <c r="T92" s="55">
        <v>27.794999999999998</v>
      </c>
      <c r="U92" s="13" t="s">
        <v>13</v>
      </c>
      <c r="V92" s="14">
        <v>0</v>
      </c>
      <c r="W92" s="14" t="s">
        <v>13</v>
      </c>
      <c r="Y92" s="42" t="s">
        <v>175</v>
      </c>
    </row>
    <row r="93" spans="1:25" x14ac:dyDescent="0.25">
      <c r="A93" s="17">
        <v>42878</v>
      </c>
      <c r="B93" s="40" t="s">
        <v>79</v>
      </c>
      <c r="C93" s="40">
        <v>38.08567</v>
      </c>
      <c r="D93" s="40">
        <v>-121.74263999999999</v>
      </c>
      <c r="E93" s="40" t="s">
        <v>279</v>
      </c>
      <c r="F93" s="40" t="s">
        <v>83</v>
      </c>
      <c r="G93" s="40" t="s">
        <v>145</v>
      </c>
      <c r="H93" s="15">
        <v>0.53125</v>
      </c>
      <c r="I93" s="13" t="s">
        <v>71</v>
      </c>
      <c r="J93" s="13" t="s">
        <v>72</v>
      </c>
      <c r="K93" s="46" t="s">
        <v>222</v>
      </c>
      <c r="L93" s="13">
        <v>2</v>
      </c>
      <c r="M93" s="13">
        <v>10</v>
      </c>
      <c r="N93" s="13" t="s">
        <v>94</v>
      </c>
      <c r="O93" s="13">
        <f>AVERAGE(30,31.7)</f>
        <v>30.85</v>
      </c>
      <c r="P93" s="12">
        <f>AVERAGE(92.8,93.6)</f>
        <v>93.199999999999989</v>
      </c>
      <c r="Q93" s="12">
        <f>AVERAGE(91.3,92)</f>
        <v>91.65</v>
      </c>
      <c r="R93" s="55">
        <v>0.84499999999999997</v>
      </c>
      <c r="S93" s="55">
        <v>13.149999999999999</v>
      </c>
      <c r="T93" s="55">
        <v>18.8</v>
      </c>
      <c r="U93" s="13" t="s">
        <v>13</v>
      </c>
      <c r="V93" s="14">
        <v>0</v>
      </c>
      <c r="W93" s="14" t="s">
        <v>13</v>
      </c>
      <c r="Y93" s="42" t="s">
        <v>175</v>
      </c>
    </row>
    <row r="94" spans="1:25" x14ac:dyDescent="0.25">
      <c r="A94" s="17">
        <v>42878</v>
      </c>
      <c r="B94" s="40" t="s">
        <v>79</v>
      </c>
      <c r="C94" s="40">
        <v>38.050989999999999</v>
      </c>
      <c r="D94" s="40">
        <v>-121.93071999999999</v>
      </c>
      <c r="E94" s="40" t="s">
        <v>280</v>
      </c>
      <c r="F94" s="40" t="s">
        <v>83</v>
      </c>
      <c r="G94" s="40" t="s">
        <v>98</v>
      </c>
      <c r="H94" s="15">
        <v>0.3923611111111111</v>
      </c>
      <c r="I94" s="13" t="s">
        <v>71</v>
      </c>
      <c r="J94" s="13" t="s">
        <v>72</v>
      </c>
      <c r="K94" s="46" t="s">
        <v>222</v>
      </c>
      <c r="L94" s="13">
        <v>2</v>
      </c>
      <c r="M94" s="13">
        <v>10</v>
      </c>
      <c r="N94" s="13" t="s">
        <v>73</v>
      </c>
      <c r="O94" s="13">
        <f>AVERAGE(44.6,43.1)</f>
        <v>43.85</v>
      </c>
      <c r="P94" s="12">
        <f>AVERAGE(97.6,95.6)</f>
        <v>96.6</v>
      </c>
      <c r="Q94" s="12">
        <f>AVERAGE(101.3,98.2)</f>
        <v>99.75</v>
      </c>
      <c r="R94" s="55">
        <v>0.6399999999999999</v>
      </c>
      <c r="S94" s="55">
        <v>19.8</v>
      </c>
      <c r="T94" s="55">
        <v>22.45</v>
      </c>
      <c r="U94" s="13" t="s">
        <v>13</v>
      </c>
      <c r="V94" s="14">
        <v>0</v>
      </c>
      <c r="W94" s="14" t="s">
        <v>13</v>
      </c>
      <c r="Y94" s="42" t="s">
        <v>175</v>
      </c>
    </row>
    <row r="95" spans="1:25" x14ac:dyDescent="0.25">
      <c r="A95" s="17">
        <v>42879</v>
      </c>
      <c r="B95" s="40" t="s">
        <v>79</v>
      </c>
      <c r="C95" s="40">
        <v>38.019660000000002</v>
      </c>
      <c r="D95" s="40">
        <v>-121.77939000000001</v>
      </c>
      <c r="E95" s="40" t="s">
        <v>281</v>
      </c>
      <c r="F95" s="40" t="s">
        <v>83</v>
      </c>
      <c r="G95" s="40" t="s">
        <v>88</v>
      </c>
      <c r="H95" s="15">
        <v>0.36805555555555558</v>
      </c>
      <c r="I95" s="13" t="s">
        <v>71</v>
      </c>
      <c r="J95" s="13" t="s">
        <v>72</v>
      </c>
      <c r="K95" s="46" t="s">
        <v>222</v>
      </c>
      <c r="L95" s="13">
        <v>2</v>
      </c>
      <c r="M95" s="13">
        <v>10</v>
      </c>
      <c r="N95" s="13" t="s">
        <v>73</v>
      </c>
      <c r="O95" s="13">
        <v>10</v>
      </c>
      <c r="P95" s="12">
        <f>AVERAGE(111.2,97)</f>
        <v>104.1</v>
      </c>
      <c r="Q95" s="12">
        <f>AVERAGE(111.4,110.9)</f>
        <v>111.15</v>
      </c>
      <c r="R95" s="55">
        <v>0.745</v>
      </c>
      <c r="S95" s="55">
        <v>16.649999999999999</v>
      </c>
      <c r="T95" s="55">
        <v>16.7</v>
      </c>
      <c r="U95" s="13" t="s">
        <v>13</v>
      </c>
      <c r="V95" s="14">
        <v>0</v>
      </c>
      <c r="W95" s="14" t="s">
        <v>13</v>
      </c>
      <c r="X95" s="7" t="s">
        <v>282</v>
      </c>
      <c r="Y95" s="16" t="s">
        <v>175</v>
      </c>
    </row>
    <row r="96" spans="1:25" x14ac:dyDescent="0.25">
      <c r="A96" s="17">
        <v>42879</v>
      </c>
      <c r="B96" s="40" t="s">
        <v>79</v>
      </c>
      <c r="C96" s="40">
        <v>38.018979999999999</v>
      </c>
      <c r="D96" s="40">
        <v>-121.78046000000001</v>
      </c>
      <c r="E96" s="40" t="s">
        <v>281</v>
      </c>
      <c r="F96" s="40" t="s">
        <v>83</v>
      </c>
      <c r="G96" s="40" t="s">
        <v>88</v>
      </c>
      <c r="H96" s="15">
        <v>0.36805555555555558</v>
      </c>
      <c r="I96" s="13" t="s">
        <v>71</v>
      </c>
      <c r="J96" s="13" t="s">
        <v>156</v>
      </c>
      <c r="K96" s="46" t="s">
        <v>157</v>
      </c>
      <c r="L96" s="13">
        <v>2</v>
      </c>
      <c r="M96" s="13">
        <v>10</v>
      </c>
      <c r="N96" s="13" t="s">
        <v>73</v>
      </c>
      <c r="O96" s="13">
        <f>AVERAGE(5.4,4.5)</f>
        <v>4.95</v>
      </c>
      <c r="P96" s="12">
        <f>AVERAGE(101.8,103.3)</f>
        <v>102.55</v>
      </c>
      <c r="Q96" s="13" t="s">
        <v>13</v>
      </c>
      <c r="R96" s="55">
        <v>0.7</v>
      </c>
      <c r="S96" s="55">
        <v>17.149999999999999</v>
      </c>
      <c r="T96" s="56" t="s">
        <v>13</v>
      </c>
      <c r="U96" s="13" t="s">
        <v>13</v>
      </c>
      <c r="V96" s="14">
        <v>0</v>
      </c>
      <c r="W96" s="14" t="s">
        <v>13</v>
      </c>
      <c r="X96" s="7" t="s">
        <v>283</v>
      </c>
      <c r="Y96" s="16" t="s">
        <v>175</v>
      </c>
    </row>
    <row r="97" spans="1:25" x14ac:dyDescent="0.25">
      <c r="A97" s="17">
        <v>42879</v>
      </c>
      <c r="B97" s="40" t="s">
        <v>79</v>
      </c>
      <c r="C97" s="40">
        <v>38.09384</v>
      </c>
      <c r="D97" s="40">
        <v>-122.06175</v>
      </c>
      <c r="E97" s="40" t="s">
        <v>284</v>
      </c>
      <c r="F97" s="40" t="s">
        <v>83</v>
      </c>
      <c r="G97" s="40" t="s">
        <v>84</v>
      </c>
      <c r="H97" s="15">
        <v>0.48472222222222222</v>
      </c>
      <c r="I97" s="13" t="s">
        <v>71</v>
      </c>
      <c r="J97" s="13" t="s">
        <v>72</v>
      </c>
      <c r="K97" s="46" t="s">
        <v>222</v>
      </c>
      <c r="L97" s="13">
        <v>2</v>
      </c>
      <c r="M97" s="13">
        <v>10</v>
      </c>
      <c r="N97" s="13" t="s">
        <v>94</v>
      </c>
      <c r="O97" s="13">
        <f>AVERAGE(21,33)</f>
        <v>27</v>
      </c>
      <c r="P97" s="12">
        <f>AVERAGE(505,445.6)</f>
        <v>475.3</v>
      </c>
      <c r="Q97" s="12">
        <f>AVERAGE(582,622)</f>
        <v>602</v>
      </c>
      <c r="R97" s="55">
        <v>0.4</v>
      </c>
      <c r="S97" s="55">
        <v>56.75</v>
      </c>
      <c r="T97" s="55">
        <v>112</v>
      </c>
      <c r="U97" s="13" t="s">
        <v>45</v>
      </c>
      <c r="V97" s="13">
        <v>2</v>
      </c>
      <c r="W97" s="13" t="s">
        <v>285</v>
      </c>
      <c r="X97" s="7" t="s">
        <v>286</v>
      </c>
      <c r="Y97" s="16" t="s">
        <v>175</v>
      </c>
    </row>
    <row r="98" spans="1:25" x14ac:dyDescent="0.25">
      <c r="A98" s="17">
        <v>42879</v>
      </c>
      <c r="B98" s="40" t="s">
        <v>79</v>
      </c>
      <c r="C98" s="40">
        <v>38.084290000000003</v>
      </c>
      <c r="D98" s="40">
        <v>-121.99324</v>
      </c>
      <c r="E98" s="40" t="s">
        <v>284</v>
      </c>
      <c r="F98" s="40" t="s">
        <v>83</v>
      </c>
      <c r="G98" s="40" t="s">
        <v>84</v>
      </c>
      <c r="H98" s="15">
        <v>0.48402777777777778</v>
      </c>
      <c r="I98" s="13" t="s">
        <v>71</v>
      </c>
      <c r="J98" s="13" t="s">
        <v>156</v>
      </c>
      <c r="K98" s="46" t="s">
        <v>157</v>
      </c>
      <c r="L98" s="13">
        <v>0</v>
      </c>
      <c r="M98" s="13">
        <v>0</v>
      </c>
      <c r="N98" s="13" t="s">
        <v>13</v>
      </c>
      <c r="O98" s="13" t="s">
        <v>13</v>
      </c>
      <c r="P98" s="13" t="s">
        <v>13</v>
      </c>
      <c r="Q98" s="13" t="s">
        <v>13</v>
      </c>
      <c r="R98" s="13" t="s">
        <v>13</v>
      </c>
      <c r="S98" s="13" t="s">
        <v>13</v>
      </c>
      <c r="T98" s="13" t="s">
        <v>13</v>
      </c>
      <c r="U98" s="13" t="s">
        <v>13</v>
      </c>
      <c r="V98" s="13" t="s">
        <v>13</v>
      </c>
      <c r="W98" s="13" t="s">
        <v>13</v>
      </c>
      <c r="X98" s="47" t="s">
        <v>287</v>
      </c>
      <c r="Y98" s="9" t="s">
        <v>175</v>
      </c>
    </row>
    <row r="99" spans="1:25" x14ac:dyDescent="0.25">
      <c r="A99" s="17">
        <v>42879</v>
      </c>
      <c r="B99" s="40" t="s">
        <v>79</v>
      </c>
      <c r="C99" s="40">
        <v>38.071530000000003</v>
      </c>
      <c r="D99" s="40">
        <v>-121.95422000000001</v>
      </c>
      <c r="E99" s="40" t="s">
        <v>288</v>
      </c>
      <c r="F99" s="40" t="s">
        <v>83</v>
      </c>
      <c r="G99" s="40" t="s">
        <v>98</v>
      </c>
      <c r="H99" s="15">
        <v>0.53194444444444444</v>
      </c>
      <c r="I99" s="13" t="s">
        <v>71</v>
      </c>
      <c r="J99" s="13" t="s">
        <v>72</v>
      </c>
      <c r="K99" s="46" t="s">
        <v>222</v>
      </c>
      <c r="L99" s="13">
        <v>2</v>
      </c>
      <c r="M99" s="13">
        <v>10</v>
      </c>
      <c r="N99" s="13" t="s">
        <v>94</v>
      </c>
      <c r="O99" s="13">
        <v>11.5</v>
      </c>
      <c r="P99" s="12">
        <f>AVERAGE(109.8,122.9)</f>
        <v>116.35</v>
      </c>
      <c r="Q99" s="12">
        <f>AVERAGE(109.7,122.6)</f>
        <v>116.15</v>
      </c>
      <c r="R99" s="55">
        <v>0.43</v>
      </c>
      <c r="S99" s="55">
        <v>34.849999999999994</v>
      </c>
      <c r="T99" s="55">
        <v>36.349999999999994</v>
      </c>
      <c r="U99" s="13" t="s">
        <v>13</v>
      </c>
      <c r="V99" s="14">
        <v>0</v>
      </c>
      <c r="W99" s="14" t="s">
        <v>13</v>
      </c>
      <c r="X99" s="7" t="s">
        <v>289</v>
      </c>
      <c r="Y99" s="9" t="s">
        <v>175</v>
      </c>
    </row>
    <row r="100" spans="1:25" x14ac:dyDescent="0.25">
      <c r="A100" s="17">
        <v>42879</v>
      </c>
      <c r="B100" s="40" t="s">
        <v>79</v>
      </c>
      <c r="C100" s="40">
        <v>38.071660000000001</v>
      </c>
      <c r="D100" s="40">
        <v>-121.95148</v>
      </c>
      <c r="E100" s="40" t="s">
        <v>288</v>
      </c>
      <c r="F100" s="40" t="s">
        <v>83</v>
      </c>
      <c r="G100" s="40" t="s">
        <v>98</v>
      </c>
      <c r="H100" s="15">
        <v>0.53819444444444442</v>
      </c>
      <c r="I100" s="13" t="s">
        <v>71</v>
      </c>
      <c r="J100" s="13" t="s">
        <v>156</v>
      </c>
      <c r="K100" s="46" t="s">
        <v>157</v>
      </c>
      <c r="L100" s="13">
        <v>0</v>
      </c>
      <c r="M100" s="13">
        <v>0</v>
      </c>
      <c r="N100" s="13" t="s">
        <v>13</v>
      </c>
      <c r="O100" s="13" t="s">
        <v>13</v>
      </c>
      <c r="P100" s="13" t="s">
        <v>13</v>
      </c>
      <c r="Q100" s="13" t="s">
        <v>13</v>
      </c>
      <c r="R100" s="13" t="s">
        <v>13</v>
      </c>
      <c r="S100" s="13" t="s">
        <v>13</v>
      </c>
      <c r="T100" s="13" t="s">
        <v>13</v>
      </c>
      <c r="U100" s="13" t="s">
        <v>13</v>
      </c>
      <c r="V100" s="13" t="s">
        <v>13</v>
      </c>
      <c r="W100" s="13" t="s">
        <v>13</v>
      </c>
      <c r="X100" s="47" t="s">
        <v>290</v>
      </c>
      <c r="Y100" s="14" t="s">
        <v>175</v>
      </c>
    </row>
    <row r="101" spans="1:25" x14ac:dyDescent="0.25">
      <c r="A101" s="17">
        <v>42879</v>
      </c>
      <c r="B101" s="40" t="s">
        <v>124</v>
      </c>
      <c r="C101" s="40">
        <v>38.132449999999999</v>
      </c>
      <c r="D101" s="40">
        <v>-121.56457</v>
      </c>
      <c r="E101" s="40" t="s">
        <v>291</v>
      </c>
      <c r="F101" s="40" t="s">
        <v>70</v>
      </c>
      <c r="G101" s="40" t="s">
        <v>127</v>
      </c>
      <c r="H101" s="15">
        <v>0.32430555555555557</v>
      </c>
      <c r="I101" s="13" t="s">
        <v>71</v>
      </c>
      <c r="J101" s="13" t="s">
        <v>72</v>
      </c>
      <c r="K101" s="46" t="s">
        <v>222</v>
      </c>
      <c r="L101" s="13">
        <v>2</v>
      </c>
      <c r="M101" s="13">
        <v>10</v>
      </c>
      <c r="N101" s="13" t="s">
        <v>73</v>
      </c>
      <c r="O101" s="13">
        <v>28</v>
      </c>
      <c r="P101" s="12">
        <f>AVERAGE(72.7,73.5)</f>
        <v>73.099999999999994</v>
      </c>
      <c r="Q101" s="12">
        <f>AVERAGE(76,76.1)</f>
        <v>76.05</v>
      </c>
      <c r="R101" s="55">
        <v>1.2450000000000001</v>
      </c>
      <c r="S101" s="55">
        <v>7.5500000000000007</v>
      </c>
      <c r="T101" s="55">
        <v>14.1</v>
      </c>
      <c r="U101" s="13" t="s">
        <v>13</v>
      </c>
      <c r="V101" s="14">
        <v>0</v>
      </c>
      <c r="W101" s="14" t="s">
        <v>13</v>
      </c>
      <c r="X101" s="7" t="s">
        <v>292</v>
      </c>
      <c r="Y101" s="14" t="s">
        <v>175</v>
      </c>
    </row>
    <row r="102" spans="1:25" x14ac:dyDescent="0.25">
      <c r="A102" s="17">
        <v>42879</v>
      </c>
      <c r="B102" s="40" t="s">
        <v>124</v>
      </c>
      <c r="C102" s="40">
        <v>38.435090000000002</v>
      </c>
      <c r="D102" s="40">
        <v>-121.5127</v>
      </c>
      <c r="E102" s="40" t="s">
        <v>293</v>
      </c>
      <c r="F102" s="40" t="s">
        <v>120</v>
      </c>
      <c r="G102" s="40" t="s">
        <v>121</v>
      </c>
      <c r="H102" s="15">
        <v>0.45902777777777781</v>
      </c>
      <c r="I102" s="13" t="s">
        <v>71</v>
      </c>
      <c r="J102" s="13" t="s">
        <v>72</v>
      </c>
      <c r="K102" s="46" t="s">
        <v>222</v>
      </c>
      <c r="L102" s="13">
        <v>2</v>
      </c>
      <c r="M102" s="13">
        <v>10</v>
      </c>
      <c r="N102" s="13" t="s">
        <v>73</v>
      </c>
      <c r="O102" s="13">
        <v>30.2</v>
      </c>
      <c r="P102" s="12">
        <f>AVERAGE(76.4,76.3)</f>
        <v>76.349999999999994</v>
      </c>
      <c r="Q102" s="12">
        <f>AVERAGE(78.1,76.5)</f>
        <v>77.3</v>
      </c>
      <c r="R102" s="55">
        <v>0.72000000000000008</v>
      </c>
      <c r="S102" s="55">
        <v>18.8</v>
      </c>
      <c r="T102" s="57">
        <v>19.866666666666664</v>
      </c>
      <c r="U102" s="13" t="s">
        <v>13</v>
      </c>
      <c r="V102" s="14">
        <v>0</v>
      </c>
      <c r="W102" s="14" t="s">
        <v>13</v>
      </c>
      <c r="X102" s="7" t="s">
        <v>228</v>
      </c>
      <c r="Y102" s="9" t="s">
        <v>175</v>
      </c>
    </row>
    <row r="103" spans="1:25" x14ac:dyDescent="0.25">
      <c r="A103" s="17">
        <v>42879</v>
      </c>
      <c r="B103" s="40" t="s">
        <v>124</v>
      </c>
      <c r="C103" s="40">
        <v>38.547359999999998</v>
      </c>
      <c r="D103" s="40">
        <v>-121.51148999999999</v>
      </c>
      <c r="E103" s="40" t="s">
        <v>294</v>
      </c>
      <c r="F103" s="40" t="s">
        <v>120</v>
      </c>
      <c r="G103" s="40" t="s">
        <v>121</v>
      </c>
      <c r="H103" s="15">
        <v>0.54513888888888895</v>
      </c>
      <c r="I103" s="13" t="s">
        <v>71</v>
      </c>
      <c r="J103" s="13" t="s">
        <v>72</v>
      </c>
      <c r="K103" s="46" t="s">
        <v>222</v>
      </c>
      <c r="L103" s="13">
        <v>2</v>
      </c>
      <c r="M103" s="13">
        <v>10</v>
      </c>
      <c r="N103" s="13" t="s">
        <v>73</v>
      </c>
      <c r="O103" s="13">
        <v>24</v>
      </c>
      <c r="P103" s="12">
        <f>AVERAGE(68.3,68.7)</f>
        <v>68.5</v>
      </c>
      <c r="Q103" s="12">
        <f>AVERAGE(69.8,68.7)</f>
        <v>69.25</v>
      </c>
      <c r="R103" s="55">
        <v>0.67500000000000004</v>
      </c>
      <c r="S103" s="55">
        <v>18.950000000000003</v>
      </c>
      <c r="T103" s="55">
        <v>18.799999999999997</v>
      </c>
      <c r="U103" s="13" t="s">
        <v>13</v>
      </c>
      <c r="V103" s="14">
        <v>0</v>
      </c>
      <c r="W103" s="14" t="s">
        <v>13</v>
      </c>
      <c r="Y103" s="9" t="s">
        <v>175</v>
      </c>
    </row>
    <row r="104" spans="1:25" x14ac:dyDescent="0.25">
      <c r="A104" s="17">
        <v>42885</v>
      </c>
      <c r="B104" s="40" t="s">
        <v>124</v>
      </c>
      <c r="C104" s="40">
        <v>38.49794</v>
      </c>
      <c r="D104" s="40">
        <v>-121.55876000000001</v>
      </c>
      <c r="E104" s="40" t="s">
        <v>295</v>
      </c>
      <c r="F104" s="40" t="s">
        <v>120</v>
      </c>
      <c r="G104" s="40" t="s">
        <v>121</v>
      </c>
      <c r="H104" s="15">
        <v>0.4236111111111111</v>
      </c>
      <c r="I104" s="13" t="s">
        <v>71</v>
      </c>
      <c r="J104" s="13" t="s">
        <v>72</v>
      </c>
      <c r="K104" s="46" t="s">
        <v>222</v>
      </c>
      <c r="L104" s="13">
        <v>2</v>
      </c>
      <c r="M104" s="13">
        <v>10</v>
      </c>
      <c r="N104" s="13" t="s">
        <v>73</v>
      </c>
      <c r="O104" s="13">
        <f>AVERAGE(22.7,21.4)</f>
        <v>22.049999999999997</v>
      </c>
      <c r="P104" s="12">
        <f>AVERAGE(73.3,73.7)</f>
        <v>73.5</v>
      </c>
      <c r="Q104" s="12">
        <f>AVERAGE(74.7,73.7)</f>
        <v>74.2</v>
      </c>
      <c r="R104" s="12">
        <v>0.52</v>
      </c>
      <c r="S104" s="59">
        <f>AVERAGE(20.2,26,7)</f>
        <v>17.733333333333334</v>
      </c>
      <c r="T104" s="12">
        <f>AVERAGE(23.7,32.1)</f>
        <v>27.9</v>
      </c>
      <c r="U104" s="13" t="s">
        <v>13</v>
      </c>
      <c r="V104" s="14">
        <v>0</v>
      </c>
      <c r="W104" s="14" t="s">
        <v>13</v>
      </c>
      <c r="Y104" s="9" t="s">
        <v>175</v>
      </c>
    </row>
    <row r="105" spans="1:25" x14ac:dyDescent="0.25">
      <c r="A105" s="17">
        <v>42885</v>
      </c>
      <c r="B105" s="40" t="s">
        <v>124</v>
      </c>
      <c r="C105" s="40">
        <v>38.179169999999999</v>
      </c>
      <c r="D105" s="40">
        <v>-121.52636</v>
      </c>
      <c r="E105" s="40" t="s">
        <v>296</v>
      </c>
      <c r="F105" s="40" t="s">
        <v>70</v>
      </c>
      <c r="G105" s="40" t="s">
        <v>127</v>
      </c>
      <c r="H105" s="15">
        <v>0.57291666666666663</v>
      </c>
      <c r="I105" s="13" t="s">
        <v>71</v>
      </c>
      <c r="J105" s="13" t="s">
        <v>72</v>
      </c>
      <c r="K105" s="46" t="s">
        <v>222</v>
      </c>
      <c r="L105" s="13">
        <v>2</v>
      </c>
      <c r="M105" s="13">
        <v>10</v>
      </c>
      <c r="N105" s="13" t="s">
        <v>73</v>
      </c>
      <c r="O105" s="13">
        <v>26.5</v>
      </c>
      <c r="P105" s="12">
        <f>AVERAGE(51.4,51)</f>
        <v>51.2</v>
      </c>
      <c r="Q105" s="12">
        <f>AVERAGE(51.3,56.8)</f>
        <v>54.05</v>
      </c>
      <c r="R105" s="55">
        <v>1.36</v>
      </c>
      <c r="S105" s="55">
        <v>15.505000000000001</v>
      </c>
      <c r="T105" s="55">
        <v>27</v>
      </c>
      <c r="U105" s="13" t="s">
        <v>13</v>
      </c>
      <c r="V105" s="14">
        <v>0</v>
      </c>
      <c r="W105" s="14" t="s">
        <v>13</v>
      </c>
      <c r="Y105" s="9" t="s">
        <v>175</v>
      </c>
    </row>
    <row r="106" spans="1:25" x14ac:dyDescent="0.25">
      <c r="A106" s="17">
        <v>42885</v>
      </c>
      <c r="B106" s="40" t="s">
        <v>124</v>
      </c>
      <c r="C106" s="40">
        <v>38.10304</v>
      </c>
      <c r="D106" s="40">
        <v>-121.49185</v>
      </c>
      <c r="E106" s="40" t="s">
        <v>300</v>
      </c>
      <c r="F106" s="40" t="s">
        <v>70</v>
      </c>
      <c r="G106" s="40" t="s">
        <v>127</v>
      </c>
      <c r="H106" s="15">
        <v>0.62986111111111109</v>
      </c>
      <c r="I106" s="13" t="s">
        <v>71</v>
      </c>
      <c r="J106" s="13" t="s">
        <v>72</v>
      </c>
      <c r="K106" s="46" t="s">
        <v>222</v>
      </c>
      <c r="L106" s="13">
        <v>2</v>
      </c>
      <c r="M106" s="13">
        <v>10</v>
      </c>
      <c r="N106" s="13" t="s">
        <v>73</v>
      </c>
      <c r="O106" s="13">
        <f>AVERAGE(24,16.7)</f>
        <v>20.350000000000001</v>
      </c>
      <c r="P106" s="12">
        <f>AVERAGE(55.5,53.8)</f>
        <v>54.65</v>
      </c>
      <c r="Q106" s="12">
        <f>AVERAGE(57.4,56.1)</f>
        <v>56.75</v>
      </c>
      <c r="R106" s="55">
        <v>1.2850000000000001</v>
      </c>
      <c r="S106" s="55">
        <v>10.89</v>
      </c>
      <c r="T106" s="55">
        <v>31.2</v>
      </c>
      <c r="U106" s="13" t="s">
        <v>13</v>
      </c>
      <c r="V106" s="14">
        <v>0</v>
      </c>
      <c r="W106" s="14" t="s">
        <v>13</v>
      </c>
      <c r="Y106" s="9" t="s">
        <v>175</v>
      </c>
    </row>
    <row r="107" spans="1:25" x14ac:dyDescent="0.25">
      <c r="A107" s="17">
        <v>42885</v>
      </c>
      <c r="B107" s="40" t="s">
        <v>79</v>
      </c>
      <c r="C107" s="40">
        <v>38.183399999999999</v>
      </c>
      <c r="D107" s="40">
        <v>-121.66226</v>
      </c>
      <c r="E107" s="40" t="s">
        <v>297</v>
      </c>
      <c r="F107" s="40" t="s">
        <v>120</v>
      </c>
      <c r="G107" s="40" t="s">
        <v>189</v>
      </c>
      <c r="H107" s="15">
        <v>0.37013888888888885</v>
      </c>
      <c r="I107" s="13" t="s">
        <v>71</v>
      </c>
      <c r="J107" s="13" t="s">
        <v>72</v>
      </c>
      <c r="K107" s="46" t="s">
        <v>222</v>
      </c>
      <c r="L107" s="13">
        <v>2</v>
      </c>
      <c r="M107" s="13">
        <v>10</v>
      </c>
      <c r="N107" s="13" t="s">
        <v>94</v>
      </c>
      <c r="O107" s="13">
        <v>33</v>
      </c>
      <c r="P107" s="12">
        <f>AVERAGE(97.7,88.9)</f>
        <v>93.300000000000011</v>
      </c>
      <c r="Q107" s="12">
        <f>AVERAGE(93,87.6)</f>
        <v>90.3</v>
      </c>
      <c r="R107" s="55">
        <v>0.78</v>
      </c>
      <c r="S107" s="55">
        <v>13.8</v>
      </c>
      <c r="T107" s="55">
        <v>14.9</v>
      </c>
      <c r="U107" s="13" t="s">
        <v>13</v>
      </c>
      <c r="V107" s="14">
        <v>0</v>
      </c>
      <c r="W107" s="14" t="s">
        <v>13</v>
      </c>
      <c r="Y107" s="9" t="s">
        <v>175</v>
      </c>
    </row>
    <row r="108" spans="1:25" x14ac:dyDescent="0.25">
      <c r="A108" s="17">
        <v>42885</v>
      </c>
      <c r="B108" s="40" t="s">
        <v>79</v>
      </c>
      <c r="C108" s="40">
        <v>38.084269999999997</v>
      </c>
      <c r="D108" s="40">
        <v>-121.99328</v>
      </c>
      <c r="E108" s="40" t="s">
        <v>298</v>
      </c>
      <c r="F108" s="40" t="s">
        <v>83</v>
      </c>
      <c r="G108" s="40" t="s">
        <v>84</v>
      </c>
      <c r="H108" s="15">
        <v>0.49583333333333335</v>
      </c>
      <c r="I108" s="13" t="s">
        <v>71</v>
      </c>
      <c r="J108" s="13" t="s">
        <v>72</v>
      </c>
      <c r="K108" s="46" t="s">
        <v>222</v>
      </c>
      <c r="L108" s="13">
        <v>2</v>
      </c>
      <c r="M108" s="13">
        <v>10</v>
      </c>
      <c r="N108" s="13" t="s">
        <v>73</v>
      </c>
      <c r="O108" s="13">
        <f>AVERAGE(29,38)</f>
        <v>33.5</v>
      </c>
      <c r="P108" s="12">
        <f>AVERAGE(124.6,124.5)</f>
        <v>124.55</v>
      </c>
      <c r="Q108" s="12">
        <f>AVERAGE(124,125.2)</f>
        <v>124.6</v>
      </c>
      <c r="R108" s="55">
        <v>0.435</v>
      </c>
      <c r="S108" s="55">
        <v>286.55</v>
      </c>
      <c r="T108" s="55">
        <v>47.05</v>
      </c>
      <c r="U108" s="13" t="s">
        <v>13</v>
      </c>
      <c r="V108" s="14">
        <v>0</v>
      </c>
      <c r="W108" s="14" t="s">
        <v>13</v>
      </c>
      <c r="Y108" s="9" t="s">
        <v>175</v>
      </c>
    </row>
    <row r="109" spans="1:25" x14ac:dyDescent="0.25">
      <c r="A109" s="17">
        <v>42885</v>
      </c>
      <c r="B109" s="40" t="s">
        <v>79</v>
      </c>
      <c r="C109" s="40">
        <v>38.055370000000003</v>
      </c>
      <c r="D109" s="40">
        <v>-121.87969</v>
      </c>
      <c r="E109" s="40" t="s">
        <v>299</v>
      </c>
      <c r="F109" s="40" t="s">
        <v>83</v>
      </c>
      <c r="G109" s="40" t="s">
        <v>145</v>
      </c>
      <c r="H109" s="15">
        <v>0.5395833333333333</v>
      </c>
      <c r="I109" s="13" t="s">
        <v>71</v>
      </c>
      <c r="J109" s="13" t="s">
        <v>72</v>
      </c>
      <c r="K109" s="46" t="s">
        <v>222</v>
      </c>
      <c r="L109" s="13">
        <v>2</v>
      </c>
      <c r="M109" s="13">
        <v>10</v>
      </c>
      <c r="N109" s="13" t="s">
        <v>73</v>
      </c>
      <c r="O109" s="13">
        <f>AVERAGE(53)</f>
        <v>53</v>
      </c>
      <c r="P109" s="12">
        <f>AVERAGE(108.8,105.6)</f>
        <v>107.19999999999999</v>
      </c>
      <c r="Q109" s="12">
        <f>AVERAGE(109.2,105.2)</f>
        <v>107.2</v>
      </c>
      <c r="R109" s="55">
        <v>0.58499999999999996</v>
      </c>
      <c r="S109" s="55">
        <v>32.4</v>
      </c>
      <c r="T109" s="55">
        <v>25.35</v>
      </c>
      <c r="U109" s="13" t="s">
        <v>13</v>
      </c>
      <c r="V109" s="14">
        <v>0</v>
      </c>
      <c r="W109" s="14" t="s">
        <v>13</v>
      </c>
      <c r="Y109" s="9" t="s">
        <v>175</v>
      </c>
    </row>
    <row r="110" spans="1:25" x14ac:dyDescent="0.25">
      <c r="A110" s="17">
        <v>42886</v>
      </c>
      <c r="B110" s="40" t="s">
        <v>69</v>
      </c>
      <c r="C110" s="40">
        <v>37.965240000000001</v>
      </c>
      <c r="D110" s="40">
        <v>-121.36798</v>
      </c>
      <c r="E110" s="40" t="s">
        <v>301</v>
      </c>
      <c r="F110" s="40" t="s">
        <v>70</v>
      </c>
      <c r="G110" s="40" t="s">
        <v>216</v>
      </c>
      <c r="H110" s="15">
        <v>0.32777777777777778</v>
      </c>
      <c r="I110" s="13" t="s">
        <v>71</v>
      </c>
      <c r="J110" s="13" t="s">
        <v>72</v>
      </c>
      <c r="K110" s="46" t="s">
        <v>222</v>
      </c>
      <c r="L110" s="13">
        <v>2</v>
      </c>
      <c r="M110" s="13">
        <v>10</v>
      </c>
      <c r="N110" s="13" t="s">
        <v>94</v>
      </c>
      <c r="O110" s="13">
        <f>AVERAGE(29.5,31.7)</f>
        <v>30.6</v>
      </c>
      <c r="P110" s="12">
        <f>AVERAGE(100.2,100.2)</f>
        <v>100.2</v>
      </c>
      <c r="Q110" s="12">
        <f>AVERAGE(100.5,103)</f>
        <v>101.75</v>
      </c>
      <c r="R110" s="55">
        <v>0.74</v>
      </c>
      <c r="S110" s="55">
        <v>13.190000000000001</v>
      </c>
      <c r="T110" s="55">
        <v>127</v>
      </c>
      <c r="U110" s="13" t="s">
        <v>13</v>
      </c>
      <c r="V110" s="14">
        <v>0</v>
      </c>
      <c r="W110" s="14" t="s">
        <v>13</v>
      </c>
      <c r="Y110" s="9" t="s">
        <v>175</v>
      </c>
    </row>
    <row r="111" spans="1:25" x14ac:dyDescent="0.25">
      <c r="A111" s="17">
        <v>42886</v>
      </c>
      <c r="B111" s="40" t="s">
        <v>69</v>
      </c>
      <c r="C111" s="40">
        <v>37.980220000000003</v>
      </c>
      <c r="D111" s="40">
        <v>-121.52079000000001</v>
      </c>
      <c r="E111" s="40" t="s">
        <v>302</v>
      </c>
      <c r="F111" s="40" t="s">
        <v>70</v>
      </c>
      <c r="G111" s="40" t="s">
        <v>142</v>
      </c>
      <c r="H111" s="15">
        <v>0.40486111111111112</v>
      </c>
      <c r="I111" s="13" t="s">
        <v>71</v>
      </c>
      <c r="J111" s="13" t="s">
        <v>72</v>
      </c>
      <c r="K111" s="46" t="s">
        <v>222</v>
      </c>
      <c r="L111" s="13">
        <v>2</v>
      </c>
      <c r="M111" s="13">
        <v>10</v>
      </c>
      <c r="N111" s="13" t="s">
        <v>94</v>
      </c>
      <c r="O111" s="13">
        <v>16.5</v>
      </c>
      <c r="P111" s="12">
        <f>AVERAGE(130.9,131.2)</f>
        <v>131.05000000000001</v>
      </c>
      <c r="Q111" s="12">
        <f>AVERAGE(132.9,132.2)</f>
        <v>132.55000000000001</v>
      </c>
      <c r="R111" s="55">
        <v>0.7</v>
      </c>
      <c r="S111" s="55">
        <v>13.45</v>
      </c>
      <c r="T111" s="55">
        <v>78.599999999999994</v>
      </c>
      <c r="U111" s="13" t="s">
        <v>13</v>
      </c>
      <c r="V111" s="14">
        <v>0</v>
      </c>
      <c r="W111" s="14" t="s">
        <v>13</v>
      </c>
      <c r="Y111" s="9" t="s">
        <v>175</v>
      </c>
    </row>
    <row r="112" spans="1:25" x14ac:dyDescent="0.25">
      <c r="A112" s="17">
        <v>42886</v>
      </c>
      <c r="B112" s="40" t="s">
        <v>69</v>
      </c>
      <c r="C112" s="40">
        <v>38.04466</v>
      </c>
      <c r="D112" s="40">
        <v>-121.53454000000001</v>
      </c>
      <c r="E112" s="40" t="s">
        <v>303</v>
      </c>
      <c r="F112" s="40" t="s">
        <v>70</v>
      </c>
      <c r="G112" s="40" t="s">
        <v>140</v>
      </c>
      <c r="H112" s="15">
        <v>0.45694444444444443</v>
      </c>
      <c r="I112" s="13" t="s">
        <v>71</v>
      </c>
      <c r="J112" s="13" t="s">
        <v>72</v>
      </c>
      <c r="K112" s="46" t="s">
        <v>222</v>
      </c>
      <c r="L112" s="13">
        <v>2</v>
      </c>
      <c r="M112" s="13">
        <v>10</v>
      </c>
      <c r="N112" s="13" t="s">
        <v>73</v>
      </c>
      <c r="O112" s="13">
        <v>15</v>
      </c>
      <c r="P112" s="12">
        <f>AVERAGE(106.9,108.2)</f>
        <v>107.55000000000001</v>
      </c>
      <c r="Q112" s="12">
        <f>AVERAGE(112.4,111.8)</f>
        <v>112.1</v>
      </c>
      <c r="R112" s="55">
        <v>0.94</v>
      </c>
      <c r="S112" s="55">
        <v>20.65</v>
      </c>
      <c r="T112" s="55">
        <v>66.55</v>
      </c>
      <c r="U112" s="13" t="s">
        <v>13</v>
      </c>
      <c r="V112" s="14">
        <v>0</v>
      </c>
      <c r="W112" s="14" t="s">
        <v>13</v>
      </c>
      <c r="Y112" s="16" t="s">
        <v>175</v>
      </c>
    </row>
    <row r="113" spans="1:25" x14ac:dyDescent="0.25">
      <c r="A113" s="17">
        <v>42886</v>
      </c>
      <c r="B113" s="40" t="s">
        <v>79</v>
      </c>
      <c r="C113" s="40">
        <v>38.076700000000002</v>
      </c>
      <c r="D113" s="40">
        <v>-122.02616999999999</v>
      </c>
      <c r="E113" s="40" t="s">
        <v>304</v>
      </c>
      <c r="F113" s="40" t="s">
        <v>83</v>
      </c>
      <c r="G113" s="40" t="s">
        <v>84</v>
      </c>
      <c r="H113" s="15">
        <v>0.3444444444444445</v>
      </c>
      <c r="I113" s="13" t="s">
        <v>71</v>
      </c>
      <c r="J113" s="13" t="s">
        <v>72</v>
      </c>
      <c r="K113" s="46" t="s">
        <v>222</v>
      </c>
      <c r="L113" s="13">
        <v>2</v>
      </c>
      <c r="M113" s="13">
        <v>10</v>
      </c>
      <c r="N113" s="13" t="s">
        <v>73</v>
      </c>
      <c r="O113" s="13">
        <v>11</v>
      </c>
      <c r="P113" s="12">
        <f>AVERAGE(123.3,161.1)</f>
        <v>142.19999999999999</v>
      </c>
      <c r="Q113" s="12">
        <f>AVERAGE(161,129.8)</f>
        <v>145.4</v>
      </c>
      <c r="R113" s="55">
        <v>0.39500000000000002</v>
      </c>
      <c r="S113" s="55">
        <v>35.299999999999997</v>
      </c>
      <c r="T113" s="55">
        <v>35.9</v>
      </c>
      <c r="U113" s="13" t="s">
        <v>13</v>
      </c>
      <c r="V113" s="14">
        <v>0</v>
      </c>
      <c r="W113" s="14" t="s">
        <v>13</v>
      </c>
      <c r="Y113" s="16" t="s">
        <v>175</v>
      </c>
    </row>
    <row r="114" spans="1:25" x14ac:dyDescent="0.25">
      <c r="A114" s="17">
        <v>42886</v>
      </c>
      <c r="B114" s="40" t="s">
        <v>79</v>
      </c>
      <c r="C114" s="40">
        <v>38.092320000000001</v>
      </c>
      <c r="D114" s="40">
        <v>-121.70843000000001</v>
      </c>
      <c r="E114" s="40" t="s">
        <v>305</v>
      </c>
      <c r="F114" s="40" t="s">
        <v>120</v>
      </c>
      <c r="G114" s="40" t="s">
        <v>147</v>
      </c>
      <c r="H114" s="15">
        <v>0.3972222222222222</v>
      </c>
      <c r="I114" s="13" t="s">
        <v>71</v>
      </c>
      <c r="J114" s="13" t="s">
        <v>72</v>
      </c>
      <c r="K114" s="46" t="s">
        <v>222</v>
      </c>
      <c r="L114" s="13">
        <v>2</v>
      </c>
      <c r="M114" s="13">
        <v>10</v>
      </c>
      <c r="N114" s="13" t="s">
        <v>73</v>
      </c>
      <c r="O114" s="13">
        <v>13</v>
      </c>
      <c r="P114" s="12">
        <f>AVERAGE(92.8,94.7)</f>
        <v>93.75</v>
      </c>
      <c r="Q114" s="12">
        <f>AVERAGE(96.2,93)</f>
        <v>94.6</v>
      </c>
      <c r="R114" s="55">
        <v>0.97</v>
      </c>
      <c r="S114" s="55">
        <v>11.984999999999999</v>
      </c>
      <c r="T114" s="55">
        <v>9.8649999999999984</v>
      </c>
      <c r="U114" s="13" t="s">
        <v>13</v>
      </c>
      <c r="V114" s="14">
        <v>0</v>
      </c>
      <c r="W114" s="14" t="s">
        <v>13</v>
      </c>
      <c r="Y114" s="9" t="s">
        <v>175</v>
      </c>
    </row>
    <row r="115" spans="1:25" x14ac:dyDescent="0.25">
      <c r="A115" s="17">
        <v>42886</v>
      </c>
      <c r="B115" s="40" t="s">
        <v>79</v>
      </c>
      <c r="C115" s="40">
        <v>38.066099999999999</v>
      </c>
      <c r="D115" s="40">
        <v>-121.84443</v>
      </c>
      <c r="E115" s="40" t="s">
        <v>306</v>
      </c>
      <c r="F115" s="40" t="s">
        <v>83</v>
      </c>
      <c r="G115" s="40" t="s">
        <v>145</v>
      </c>
      <c r="H115" s="15">
        <v>0.4368055555555555</v>
      </c>
      <c r="I115" s="13" t="s">
        <v>71</v>
      </c>
      <c r="J115" s="13" t="s">
        <v>72</v>
      </c>
      <c r="K115" s="46" t="s">
        <v>222</v>
      </c>
      <c r="L115" s="13">
        <v>2</v>
      </c>
      <c r="M115" s="13">
        <v>10</v>
      </c>
      <c r="N115" s="13" t="s">
        <v>73</v>
      </c>
      <c r="O115" s="13">
        <v>24</v>
      </c>
      <c r="P115" s="12">
        <f>AVERAGE(103.3,102.8)</f>
        <v>103.05</v>
      </c>
      <c r="Q115" s="12">
        <f>AVERAGE(103.9,104.5)</f>
        <v>104.2</v>
      </c>
      <c r="R115" s="55">
        <v>0.8</v>
      </c>
      <c r="S115" s="55">
        <v>13.15</v>
      </c>
      <c r="T115" s="55">
        <v>14.95</v>
      </c>
      <c r="U115" s="13" t="s">
        <v>13</v>
      </c>
      <c r="V115" s="14">
        <v>0</v>
      </c>
      <c r="W115" s="14" t="s">
        <v>13</v>
      </c>
      <c r="Y115" s="9" t="s">
        <v>175</v>
      </c>
    </row>
    <row r="116" spans="1:25" x14ac:dyDescent="0.25">
      <c r="A116" s="17">
        <v>42887</v>
      </c>
      <c r="B116" s="40" t="s">
        <v>69</v>
      </c>
      <c r="C116" s="40">
        <v>38.048990000000003</v>
      </c>
      <c r="D116" s="40">
        <v>-121.62837</v>
      </c>
      <c r="E116" s="40" t="s">
        <v>307</v>
      </c>
      <c r="F116" s="40" t="s">
        <v>70</v>
      </c>
      <c r="G116" s="40" t="s">
        <v>152</v>
      </c>
      <c r="H116" s="15">
        <v>0.32430555555555557</v>
      </c>
      <c r="I116" s="13" t="s">
        <v>71</v>
      </c>
      <c r="J116" s="13" t="s">
        <v>156</v>
      </c>
      <c r="K116" s="46" t="s">
        <v>157</v>
      </c>
      <c r="L116" s="13">
        <v>2</v>
      </c>
      <c r="M116" s="13">
        <v>10</v>
      </c>
      <c r="N116" s="13" t="s">
        <v>94</v>
      </c>
      <c r="O116" s="13">
        <v>5</v>
      </c>
      <c r="P116" s="12">
        <f>AVERAGE(95.6,94.1)</f>
        <v>94.85</v>
      </c>
      <c r="Q116" s="13" t="s">
        <v>13</v>
      </c>
      <c r="R116" s="55">
        <v>0.88</v>
      </c>
      <c r="S116" s="55">
        <v>7.875</v>
      </c>
      <c r="T116" s="56" t="s">
        <v>13</v>
      </c>
      <c r="U116" s="13" t="s">
        <v>13</v>
      </c>
      <c r="V116" s="14">
        <v>0</v>
      </c>
      <c r="W116" s="14" t="s">
        <v>13</v>
      </c>
      <c r="X116" s="7" t="s">
        <v>308</v>
      </c>
      <c r="Y116" s="9" t="s">
        <v>175</v>
      </c>
    </row>
    <row r="117" spans="1:25" x14ac:dyDescent="0.25">
      <c r="A117" s="17">
        <v>42887</v>
      </c>
      <c r="B117" s="40" t="s">
        <v>69</v>
      </c>
      <c r="C117" s="40">
        <v>38.010069999999999</v>
      </c>
      <c r="D117" s="40">
        <v>-121.55052000000001</v>
      </c>
      <c r="E117" s="40" t="s">
        <v>309</v>
      </c>
      <c r="F117" s="40" t="s">
        <v>70</v>
      </c>
      <c r="G117" s="40" t="s">
        <v>142</v>
      </c>
      <c r="H117" s="15">
        <v>0.38055555555555554</v>
      </c>
      <c r="I117" s="13" t="s">
        <v>71</v>
      </c>
      <c r="J117" s="13" t="s">
        <v>156</v>
      </c>
      <c r="K117" s="46" t="s">
        <v>157</v>
      </c>
      <c r="L117" s="13">
        <v>2</v>
      </c>
      <c r="M117" s="13">
        <v>10</v>
      </c>
      <c r="N117" s="13" t="s">
        <v>94</v>
      </c>
      <c r="O117" s="13">
        <v>8</v>
      </c>
      <c r="P117" s="12">
        <f>AVERAGE(127.3,128.1)</f>
        <v>127.69999999999999</v>
      </c>
      <c r="Q117" s="13" t="s">
        <v>13</v>
      </c>
      <c r="R117" s="55">
        <v>0.96499999999999997</v>
      </c>
      <c r="S117" s="55">
        <v>8.17</v>
      </c>
      <c r="T117" s="13" t="s">
        <v>13</v>
      </c>
      <c r="U117" s="13" t="s">
        <v>13</v>
      </c>
      <c r="V117" s="14">
        <v>0</v>
      </c>
      <c r="W117" s="14" t="s">
        <v>13</v>
      </c>
      <c r="X117" s="7" t="s">
        <v>310</v>
      </c>
      <c r="Y117" s="9" t="s">
        <v>175</v>
      </c>
    </row>
    <row r="118" spans="1:25" x14ac:dyDescent="0.25">
      <c r="A118" s="17">
        <v>42887</v>
      </c>
      <c r="B118" s="40" t="s">
        <v>69</v>
      </c>
      <c r="C118" s="40">
        <v>38.049840000000003</v>
      </c>
      <c r="D118" s="40">
        <v>-121.62864999999999</v>
      </c>
      <c r="E118" s="40" t="s">
        <v>307</v>
      </c>
      <c r="F118" s="40" t="s">
        <v>70</v>
      </c>
      <c r="G118" s="40" t="s">
        <v>152</v>
      </c>
      <c r="H118" s="15">
        <v>0.32361111111111113</v>
      </c>
      <c r="I118" s="13" t="s">
        <v>71</v>
      </c>
      <c r="J118" s="13" t="s">
        <v>72</v>
      </c>
      <c r="K118" s="13" t="s">
        <v>222</v>
      </c>
      <c r="L118" s="13">
        <v>2</v>
      </c>
      <c r="M118" s="13">
        <v>10</v>
      </c>
      <c r="N118" s="13" t="s">
        <v>94</v>
      </c>
      <c r="O118" s="13">
        <f>AVERAGE(21.5,22.7)</f>
        <v>22.1</v>
      </c>
      <c r="P118" s="12">
        <f>AVERAGE(106.8,104.1)</f>
        <v>105.44999999999999</v>
      </c>
      <c r="Q118" s="12">
        <f>AVERAGE(107.5,104.9)</f>
        <v>106.2</v>
      </c>
      <c r="R118" s="55">
        <v>0.92</v>
      </c>
      <c r="S118" s="55">
        <v>9.3949999999999996</v>
      </c>
      <c r="T118" s="55">
        <v>12.55</v>
      </c>
      <c r="U118" s="13" t="s">
        <v>13</v>
      </c>
      <c r="V118" s="14">
        <v>0</v>
      </c>
      <c r="W118" s="14" t="s">
        <v>13</v>
      </c>
      <c r="X118" s="7" t="s">
        <v>311</v>
      </c>
      <c r="Y118" s="9" t="s">
        <v>175</v>
      </c>
    </row>
    <row r="119" spans="1:25" x14ac:dyDescent="0.25">
      <c r="A119" s="17">
        <v>42887</v>
      </c>
      <c r="B119" s="40" t="s">
        <v>69</v>
      </c>
      <c r="C119" s="40">
        <v>38.010480000000001</v>
      </c>
      <c r="D119" s="40">
        <v>-121.55067</v>
      </c>
      <c r="E119" s="40" t="s">
        <v>309</v>
      </c>
      <c r="F119" s="40" t="s">
        <v>70</v>
      </c>
      <c r="G119" s="40" t="s">
        <v>142</v>
      </c>
      <c r="H119" s="15">
        <v>0.38055555555555554</v>
      </c>
      <c r="I119" s="13" t="s">
        <v>71</v>
      </c>
      <c r="J119" s="13" t="s">
        <v>72</v>
      </c>
      <c r="K119" s="46" t="s">
        <v>222</v>
      </c>
      <c r="L119" s="13">
        <v>2</v>
      </c>
      <c r="M119" s="13">
        <v>10</v>
      </c>
      <c r="N119" s="13" t="s">
        <v>94</v>
      </c>
      <c r="O119" s="13">
        <v>28</v>
      </c>
      <c r="P119" s="12">
        <f>AVERAGE(143,142.1)</f>
        <v>142.55000000000001</v>
      </c>
      <c r="Q119" s="12">
        <f>AVERAGE(142.5,143.2)</f>
        <v>142.85</v>
      </c>
      <c r="R119" s="55">
        <v>1.03</v>
      </c>
      <c r="S119" s="55">
        <v>9.7650000000000006</v>
      </c>
      <c r="T119" s="55">
        <v>55.300000000000004</v>
      </c>
      <c r="U119" s="13" t="s">
        <v>13</v>
      </c>
      <c r="V119" s="14">
        <v>0</v>
      </c>
      <c r="W119" s="14" t="s">
        <v>13</v>
      </c>
      <c r="X119" s="7" t="s">
        <v>312</v>
      </c>
      <c r="Y119" s="9" t="s">
        <v>175</v>
      </c>
    </row>
    <row r="120" spans="1:25" x14ac:dyDescent="0.25">
      <c r="A120" s="17">
        <v>42887</v>
      </c>
      <c r="B120" s="40" t="s">
        <v>69</v>
      </c>
      <c r="C120" s="40">
        <v>37.8581</v>
      </c>
      <c r="D120" s="40">
        <v>-121.55528</v>
      </c>
      <c r="E120" s="40" t="s">
        <v>313</v>
      </c>
      <c r="F120" s="40" t="s">
        <v>70</v>
      </c>
      <c r="G120" s="40" t="s">
        <v>168</v>
      </c>
      <c r="H120" s="15">
        <v>0.47152777777777777</v>
      </c>
      <c r="I120" s="13" t="s">
        <v>71</v>
      </c>
      <c r="J120" s="13" t="s">
        <v>72</v>
      </c>
      <c r="K120" s="46" t="s">
        <v>222</v>
      </c>
      <c r="L120" s="13">
        <v>2</v>
      </c>
      <c r="M120" s="13">
        <v>10</v>
      </c>
      <c r="N120" s="13" t="s">
        <v>94</v>
      </c>
      <c r="O120" s="13">
        <v>12.5</v>
      </c>
      <c r="P120" s="12">
        <f>AVERAGE(126.6,128.9)</f>
        <v>127.75</v>
      </c>
      <c r="Q120" s="12">
        <f>AVERAGE(129.3,129.6)</f>
        <v>129.44999999999999</v>
      </c>
      <c r="R120" s="55">
        <v>0.76</v>
      </c>
      <c r="S120" s="55">
        <v>28.6</v>
      </c>
      <c r="T120" s="55">
        <v>101.05</v>
      </c>
      <c r="U120" s="13" t="s">
        <v>13</v>
      </c>
      <c r="V120" s="14">
        <v>0</v>
      </c>
      <c r="W120" s="14" t="s">
        <v>13</v>
      </c>
      <c r="Y120" s="16" t="s">
        <v>175</v>
      </c>
    </row>
    <row r="121" spans="1:25" x14ac:dyDescent="0.25">
      <c r="A121" s="17">
        <v>42887</v>
      </c>
      <c r="B121" s="40" t="s">
        <v>100</v>
      </c>
      <c r="C121" s="40">
        <v>38.056930000000001</v>
      </c>
      <c r="D121" s="40">
        <v>-122.10787999999999</v>
      </c>
      <c r="E121" s="40" t="s">
        <v>314</v>
      </c>
      <c r="F121" s="40" t="s">
        <v>102</v>
      </c>
      <c r="G121" s="40" t="s">
        <v>131</v>
      </c>
      <c r="H121" s="15">
        <v>0.35138888888888892</v>
      </c>
      <c r="I121" s="13" t="s">
        <v>71</v>
      </c>
      <c r="J121" s="13" t="s">
        <v>72</v>
      </c>
      <c r="K121" s="46" t="s">
        <v>222</v>
      </c>
      <c r="L121" s="13">
        <v>2</v>
      </c>
      <c r="M121" s="13">
        <v>10</v>
      </c>
      <c r="N121" s="13" t="s">
        <v>73</v>
      </c>
      <c r="O121" s="13">
        <v>37</v>
      </c>
      <c r="P121" s="12">
        <f>AVERAGE(1911,1666)</f>
        <v>1788.5</v>
      </c>
      <c r="Q121" s="12">
        <f>AVERAGE(6897,6348)</f>
        <v>6622.5</v>
      </c>
      <c r="R121" s="55">
        <v>0.33999999999999997</v>
      </c>
      <c r="S121" s="55">
        <v>47.95</v>
      </c>
      <c r="T121" s="55">
        <v>46.7</v>
      </c>
      <c r="U121" s="13" t="s">
        <v>45</v>
      </c>
      <c r="V121" s="14">
        <v>8</v>
      </c>
      <c r="W121" s="14" t="s">
        <v>315</v>
      </c>
      <c r="Y121" s="9" t="s">
        <v>175</v>
      </c>
    </row>
    <row r="122" spans="1:25" x14ac:dyDescent="0.25">
      <c r="A122" s="17">
        <v>42887</v>
      </c>
      <c r="B122" s="40" t="s">
        <v>100</v>
      </c>
      <c r="C122" s="40">
        <v>38.056930000000001</v>
      </c>
      <c r="D122" s="40">
        <v>-122.10787999999999</v>
      </c>
      <c r="E122" s="40" t="s">
        <v>314</v>
      </c>
      <c r="F122" s="40" t="s">
        <v>102</v>
      </c>
      <c r="G122" s="40" t="s">
        <v>131</v>
      </c>
      <c r="H122" s="15"/>
      <c r="I122" s="13"/>
      <c r="J122" s="13"/>
      <c r="K122" s="13"/>
      <c r="L122" s="13"/>
      <c r="M122" s="13"/>
      <c r="N122" s="13"/>
      <c r="O122" s="13"/>
      <c r="P122" s="13"/>
      <c r="Q122" s="13"/>
      <c r="R122" s="13"/>
      <c r="S122" s="13"/>
      <c r="T122" s="13"/>
      <c r="U122" s="13" t="s">
        <v>19</v>
      </c>
      <c r="V122" s="13">
        <v>1</v>
      </c>
      <c r="W122" s="13">
        <v>105</v>
      </c>
      <c r="X122" s="7" t="s">
        <v>316</v>
      </c>
      <c r="Y122" s="9" t="s">
        <v>175</v>
      </c>
    </row>
    <row r="123" spans="1:25" x14ac:dyDescent="0.25">
      <c r="A123" s="17">
        <v>42887</v>
      </c>
      <c r="B123" s="40" t="s">
        <v>100</v>
      </c>
      <c r="C123" s="40">
        <v>38.053849999999997</v>
      </c>
      <c r="D123" s="40">
        <v>-122.30106000000001</v>
      </c>
      <c r="E123" s="40" t="s">
        <v>317</v>
      </c>
      <c r="F123" s="40" t="s">
        <v>102</v>
      </c>
      <c r="G123" s="40" t="s">
        <v>104</v>
      </c>
      <c r="H123" s="15">
        <v>0.4152777777777778</v>
      </c>
      <c r="I123" s="13" t="s">
        <v>71</v>
      </c>
      <c r="J123" s="13" t="s">
        <v>72</v>
      </c>
      <c r="K123" s="46" t="s">
        <v>222</v>
      </c>
      <c r="L123" s="13">
        <v>2</v>
      </c>
      <c r="M123" s="13">
        <v>10</v>
      </c>
      <c r="N123" s="13" t="s">
        <v>73</v>
      </c>
      <c r="O123" s="13">
        <v>33</v>
      </c>
      <c r="P123" s="12">
        <f>AVERAGE(11160,10376)</f>
        <v>10768</v>
      </c>
      <c r="Q123" s="12">
        <f>AVERAGE(19685,24747)</f>
        <v>22216</v>
      </c>
      <c r="R123" s="55">
        <v>0.495</v>
      </c>
      <c r="S123" s="55">
        <v>25.75</v>
      </c>
      <c r="T123" s="55">
        <v>38.6</v>
      </c>
      <c r="U123" s="13" t="s">
        <v>45</v>
      </c>
      <c r="V123" s="18">
        <v>1</v>
      </c>
      <c r="W123" s="18">
        <v>33</v>
      </c>
      <c r="Y123" s="9" t="s">
        <v>175</v>
      </c>
    </row>
    <row r="124" spans="1:25" x14ac:dyDescent="0.25">
      <c r="A124" s="17">
        <v>42887</v>
      </c>
      <c r="B124" s="40" t="s">
        <v>100</v>
      </c>
      <c r="C124" s="40">
        <v>38.152419999999999</v>
      </c>
      <c r="D124" s="40">
        <v>-122.29188000000001</v>
      </c>
      <c r="E124" s="40" t="s">
        <v>318</v>
      </c>
      <c r="F124" s="40" t="s">
        <v>102</v>
      </c>
      <c r="G124" s="40" t="s">
        <v>133</v>
      </c>
      <c r="H124" s="15">
        <v>0.46527777777777773</v>
      </c>
      <c r="I124" s="13" t="s">
        <v>71</v>
      </c>
      <c r="J124" s="13" t="s">
        <v>72</v>
      </c>
      <c r="K124" s="46" t="s">
        <v>222</v>
      </c>
      <c r="L124" s="13">
        <v>2</v>
      </c>
      <c r="M124" s="13">
        <v>10</v>
      </c>
      <c r="N124" s="13" t="s">
        <v>73</v>
      </c>
      <c r="O124" s="13">
        <f>AVERAGE(12.2,11.7)</f>
        <v>11.95</v>
      </c>
      <c r="P124" s="12">
        <f>AVERAGE(5160,5339)</f>
        <v>5249.5</v>
      </c>
      <c r="Q124" s="12">
        <f>AVERAGE(5394,5173)</f>
        <v>5283.5</v>
      </c>
      <c r="R124" s="55">
        <v>0.31</v>
      </c>
      <c r="S124" s="55">
        <v>56.8</v>
      </c>
      <c r="T124" s="55">
        <v>86.85</v>
      </c>
      <c r="U124" s="13" t="s">
        <v>14</v>
      </c>
      <c r="V124" s="18">
        <v>1</v>
      </c>
      <c r="W124" s="18">
        <v>39</v>
      </c>
      <c r="X124" s="7" t="s">
        <v>319</v>
      </c>
      <c r="Y124" s="9" t="s">
        <v>175</v>
      </c>
    </row>
    <row r="125" spans="1:25" x14ac:dyDescent="0.25">
      <c r="A125" s="17">
        <v>42891</v>
      </c>
      <c r="B125" s="40" t="s">
        <v>69</v>
      </c>
      <c r="C125" s="40">
        <v>38.095550000000003</v>
      </c>
      <c r="D125" s="40">
        <v>-121.56787</v>
      </c>
      <c r="E125" s="40" t="s">
        <v>320</v>
      </c>
      <c r="F125" s="40" t="s">
        <v>70</v>
      </c>
      <c r="G125" s="40" t="s">
        <v>140</v>
      </c>
      <c r="H125" s="15">
        <v>0.30486111111111108</v>
      </c>
      <c r="I125" s="13" t="s">
        <v>71</v>
      </c>
      <c r="J125" s="13" t="s">
        <v>72</v>
      </c>
      <c r="K125" s="46" t="s">
        <v>222</v>
      </c>
      <c r="L125" s="13">
        <v>2</v>
      </c>
      <c r="M125" s="13">
        <v>10</v>
      </c>
      <c r="N125" s="13" t="s">
        <v>73</v>
      </c>
      <c r="O125" s="13">
        <v>23.5</v>
      </c>
      <c r="P125" s="12">
        <f>AVERAGE(77.9,75.3)</f>
        <v>76.599999999999994</v>
      </c>
      <c r="Q125" s="12">
        <f>AVERAGE(78.4,76.7)</f>
        <v>77.550000000000011</v>
      </c>
      <c r="R125" s="55">
        <v>1.0699999999999998</v>
      </c>
      <c r="S125" s="55">
        <v>13.665000000000001</v>
      </c>
      <c r="T125" s="55">
        <v>22.85</v>
      </c>
      <c r="U125" s="13" t="s">
        <v>13</v>
      </c>
      <c r="V125" s="14">
        <v>0</v>
      </c>
      <c r="W125" s="14" t="s">
        <v>13</v>
      </c>
      <c r="Y125" s="9" t="s">
        <v>175</v>
      </c>
    </row>
    <row r="126" spans="1:25" x14ac:dyDescent="0.25">
      <c r="A126" s="17">
        <v>42891</v>
      </c>
      <c r="B126" s="40" t="s">
        <v>69</v>
      </c>
      <c r="C126" s="40">
        <v>38.116579999999999</v>
      </c>
      <c r="D126" s="40">
        <v>-121.62815000000001</v>
      </c>
      <c r="E126" s="40" t="s">
        <v>321</v>
      </c>
      <c r="F126" s="40" t="s">
        <v>70</v>
      </c>
      <c r="G126" s="40" t="s">
        <v>78</v>
      </c>
      <c r="H126" s="15">
        <v>0.36458333333333331</v>
      </c>
      <c r="I126" s="13" t="s">
        <v>71</v>
      </c>
      <c r="J126" s="13" t="s">
        <v>72</v>
      </c>
      <c r="K126" s="13" t="s">
        <v>222</v>
      </c>
      <c r="L126" s="13">
        <v>2</v>
      </c>
      <c r="M126" s="13">
        <v>10</v>
      </c>
      <c r="N126" s="13" t="s">
        <v>94</v>
      </c>
      <c r="O126" s="13">
        <v>9</v>
      </c>
      <c r="P126" s="12">
        <f>AVERAGE(104.4,104.4)</f>
        <v>104.4</v>
      </c>
      <c r="Q126" s="12">
        <f>AVERAGE(105.4,106.3)</f>
        <v>105.85</v>
      </c>
      <c r="R126" s="55">
        <v>1.01</v>
      </c>
      <c r="S126" s="55">
        <v>10.344999999999999</v>
      </c>
      <c r="T126" s="55">
        <v>24.934999999999999</v>
      </c>
      <c r="U126" s="13" t="s">
        <v>13</v>
      </c>
      <c r="V126" s="14">
        <v>0</v>
      </c>
      <c r="W126" s="14" t="s">
        <v>13</v>
      </c>
      <c r="Y126" s="9" t="s">
        <v>175</v>
      </c>
    </row>
    <row r="127" spans="1:25" x14ac:dyDescent="0.25">
      <c r="A127" s="17">
        <v>42891</v>
      </c>
      <c r="B127" s="40" t="s">
        <v>69</v>
      </c>
      <c r="C127" s="40">
        <v>38.013190000000002</v>
      </c>
      <c r="D127" s="40">
        <v>-121.65519999999999</v>
      </c>
      <c r="E127" s="40" t="s">
        <v>322</v>
      </c>
      <c r="F127" s="40" t="s">
        <v>70</v>
      </c>
      <c r="G127" s="40" t="s">
        <v>152</v>
      </c>
      <c r="H127" s="15">
        <v>0.45416666666666666</v>
      </c>
      <c r="I127" s="13" t="s">
        <v>71</v>
      </c>
      <c r="J127" s="13" t="s">
        <v>72</v>
      </c>
      <c r="K127" s="13" t="s">
        <v>222</v>
      </c>
      <c r="L127" s="13">
        <v>2</v>
      </c>
      <c r="M127" s="13">
        <v>10</v>
      </c>
      <c r="N127" s="13" t="s">
        <v>73</v>
      </c>
      <c r="O127" s="13">
        <v>11.5</v>
      </c>
      <c r="P127" s="12">
        <f>AVERAGE(130,134.3)</f>
        <v>132.15</v>
      </c>
      <c r="Q127" s="12">
        <f>AVERAGE(136.9,135.5)</f>
        <v>136.19999999999999</v>
      </c>
      <c r="R127" s="55">
        <v>1.43</v>
      </c>
      <c r="S127" s="55">
        <v>5.8949999999999996</v>
      </c>
      <c r="T127" s="55">
        <v>11.885</v>
      </c>
      <c r="U127" s="13" t="s">
        <v>13</v>
      </c>
      <c r="V127" s="14">
        <v>0</v>
      </c>
      <c r="W127" s="14" t="s">
        <v>13</v>
      </c>
      <c r="Y127" s="9" t="s">
        <v>175</v>
      </c>
    </row>
    <row r="128" spans="1:25" x14ac:dyDescent="0.25">
      <c r="A128" s="17">
        <v>42891</v>
      </c>
      <c r="B128" s="40" t="s">
        <v>100</v>
      </c>
      <c r="C128" s="40">
        <v>38.074069999999999</v>
      </c>
      <c r="D128" s="40">
        <v>-122.09014000000001</v>
      </c>
      <c r="E128" s="40" t="s">
        <v>323</v>
      </c>
      <c r="F128" s="40" t="s">
        <v>102</v>
      </c>
      <c r="G128" s="40" t="s">
        <v>131</v>
      </c>
      <c r="H128" s="15">
        <v>0.33333333333333331</v>
      </c>
      <c r="I128" s="13" t="s">
        <v>71</v>
      </c>
      <c r="J128" s="13" t="s">
        <v>72</v>
      </c>
      <c r="K128" s="46" t="s">
        <v>222</v>
      </c>
      <c r="L128" s="13">
        <v>0</v>
      </c>
      <c r="M128" s="13">
        <v>0</v>
      </c>
      <c r="N128" s="13" t="s">
        <v>13</v>
      </c>
      <c r="O128" s="13" t="s">
        <v>13</v>
      </c>
      <c r="P128" s="13" t="s">
        <v>13</v>
      </c>
      <c r="Q128" s="13" t="s">
        <v>13</v>
      </c>
      <c r="R128" s="13" t="s">
        <v>13</v>
      </c>
      <c r="S128" s="13" t="s">
        <v>13</v>
      </c>
      <c r="T128" s="13" t="s">
        <v>13</v>
      </c>
      <c r="U128" s="13" t="s">
        <v>13</v>
      </c>
      <c r="V128" s="13" t="s">
        <v>13</v>
      </c>
      <c r="W128" s="13" t="s">
        <v>13</v>
      </c>
      <c r="X128" s="7" t="s">
        <v>324</v>
      </c>
      <c r="Y128" s="9" t="s">
        <v>175</v>
      </c>
    </row>
    <row r="129" spans="1:25" x14ac:dyDescent="0.25">
      <c r="A129" s="17">
        <v>42891</v>
      </c>
      <c r="B129" s="40" t="s">
        <v>100</v>
      </c>
      <c r="C129" s="40">
        <v>38.074530000000003</v>
      </c>
      <c r="D129" s="40">
        <v>-122.09184999999999</v>
      </c>
      <c r="E129" s="40" t="s">
        <v>325</v>
      </c>
      <c r="F129" s="40" t="s">
        <v>102</v>
      </c>
      <c r="G129" s="40" t="s">
        <v>131</v>
      </c>
      <c r="H129" s="15">
        <v>0.35416666666666669</v>
      </c>
      <c r="I129" s="13" t="s">
        <v>71</v>
      </c>
      <c r="J129" s="13" t="s">
        <v>72</v>
      </c>
      <c r="K129" s="46" t="s">
        <v>222</v>
      </c>
      <c r="L129" s="13">
        <v>0</v>
      </c>
      <c r="M129" s="13">
        <v>0</v>
      </c>
      <c r="N129" s="13" t="s">
        <v>13</v>
      </c>
      <c r="O129" s="13" t="s">
        <v>13</v>
      </c>
      <c r="P129" s="13" t="s">
        <v>13</v>
      </c>
      <c r="Q129" s="13" t="s">
        <v>13</v>
      </c>
      <c r="R129" s="13" t="s">
        <v>13</v>
      </c>
      <c r="S129" s="13" t="s">
        <v>13</v>
      </c>
      <c r="T129" s="13" t="s">
        <v>13</v>
      </c>
      <c r="U129" s="13" t="s">
        <v>13</v>
      </c>
      <c r="V129" s="13" t="s">
        <v>13</v>
      </c>
      <c r="W129" s="13" t="s">
        <v>13</v>
      </c>
      <c r="X129" s="7" t="s">
        <v>324</v>
      </c>
      <c r="Y129" s="9" t="s">
        <v>175</v>
      </c>
    </row>
    <row r="130" spans="1:25" x14ac:dyDescent="0.25">
      <c r="A130" s="17">
        <v>42891</v>
      </c>
      <c r="B130" s="40" t="s">
        <v>100</v>
      </c>
      <c r="C130" s="40">
        <v>38.058669999999999</v>
      </c>
      <c r="D130" s="40">
        <v>-122.26067999999999</v>
      </c>
      <c r="E130" s="40" t="s">
        <v>326</v>
      </c>
      <c r="F130" s="40" t="s">
        <v>102</v>
      </c>
      <c r="G130" s="40" t="s">
        <v>104</v>
      </c>
      <c r="H130" s="15">
        <v>0.39861111111111108</v>
      </c>
      <c r="I130" s="13" t="s">
        <v>71</v>
      </c>
      <c r="J130" s="13" t="s">
        <v>72</v>
      </c>
      <c r="K130" s="46" t="s">
        <v>222</v>
      </c>
      <c r="L130" s="13">
        <v>2</v>
      </c>
      <c r="M130" s="13">
        <v>10</v>
      </c>
      <c r="N130" s="13" t="s">
        <v>94</v>
      </c>
      <c r="O130" s="13">
        <f>AVERAGE(43.3,40)</f>
        <v>41.65</v>
      </c>
      <c r="P130" s="12">
        <f>AVERAGE(9504,9075)</f>
        <v>9289.5</v>
      </c>
      <c r="Q130" s="12">
        <f>AVERAGE(15995,16413)</f>
        <v>16204</v>
      </c>
      <c r="R130" s="55">
        <v>0.56499999999999995</v>
      </c>
      <c r="S130" s="55">
        <v>20.3</v>
      </c>
      <c r="T130" s="55">
        <v>272.5</v>
      </c>
      <c r="U130" s="13" t="s">
        <v>13</v>
      </c>
      <c r="V130" s="14">
        <v>0</v>
      </c>
      <c r="W130" s="14" t="s">
        <v>13</v>
      </c>
      <c r="Y130" s="9" t="s">
        <v>175</v>
      </c>
    </row>
    <row r="131" spans="1:25" x14ac:dyDescent="0.25">
      <c r="A131" s="17">
        <v>42891</v>
      </c>
      <c r="B131" s="40" t="s">
        <v>100</v>
      </c>
      <c r="C131" s="40">
        <v>38.039090000000002</v>
      </c>
      <c r="D131" s="40">
        <v>-122.27981</v>
      </c>
      <c r="E131" s="40" t="s">
        <v>327</v>
      </c>
      <c r="F131" s="40" t="s">
        <v>102</v>
      </c>
      <c r="G131" s="40" t="s">
        <v>104</v>
      </c>
      <c r="H131" s="15">
        <v>0.43541666666666662</v>
      </c>
      <c r="I131" s="13" t="s">
        <v>71</v>
      </c>
      <c r="J131" s="13" t="s">
        <v>72</v>
      </c>
      <c r="K131" s="46" t="s">
        <v>222</v>
      </c>
      <c r="L131" s="13">
        <v>2</v>
      </c>
      <c r="M131" s="13">
        <v>10</v>
      </c>
      <c r="N131" s="13" t="s">
        <v>94</v>
      </c>
      <c r="O131" s="13">
        <v>11.5</v>
      </c>
      <c r="P131" s="12">
        <f>AVERAGE(17394,17754)</f>
        <v>17574</v>
      </c>
      <c r="Q131" s="12">
        <f>AVERAGE(17804,18606)</f>
        <v>18205</v>
      </c>
      <c r="R131" s="57">
        <v>0.52</v>
      </c>
      <c r="S131" s="57">
        <v>65.133333333333326</v>
      </c>
      <c r="T131" s="57">
        <v>73.066666666666663</v>
      </c>
      <c r="U131" s="13" t="s">
        <v>13</v>
      </c>
      <c r="V131" s="14">
        <v>0</v>
      </c>
      <c r="W131" s="14" t="s">
        <v>13</v>
      </c>
      <c r="Y131" s="9" t="s">
        <v>175</v>
      </c>
    </row>
    <row r="132" spans="1:25" x14ac:dyDescent="0.25">
      <c r="A132" s="17">
        <v>42891</v>
      </c>
      <c r="B132" s="40" t="s">
        <v>100</v>
      </c>
      <c r="C132" s="40">
        <v>38.077730000000003</v>
      </c>
      <c r="D132" s="40">
        <v>-122.02515</v>
      </c>
      <c r="E132" s="40" t="s">
        <v>328</v>
      </c>
      <c r="F132" s="40" t="s">
        <v>102</v>
      </c>
      <c r="G132" s="40" t="s">
        <v>131</v>
      </c>
      <c r="H132" s="15">
        <v>0.49027777777777781</v>
      </c>
      <c r="I132" s="13" t="s">
        <v>71</v>
      </c>
      <c r="J132" s="13" t="s">
        <v>72</v>
      </c>
      <c r="K132" s="46" t="s">
        <v>222</v>
      </c>
      <c r="L132" s="13">
        <v>2</v>
      </c>
      <c r="M132" s="13">
        <v>10</v>
      </c>
      <c r="N132" s="13" t="s">
        <v>73</v>
      </c>
      <c r="O132" s="13">
        <v>14</v>
      </c>
      <c r="P132" s="12">
        <f>AVERAGE(478.6,445)</f>
        <v>461.8</v>
      </c>
      <c r="Q132" s="12">
        <f>AVERAGE(540,433.2)</f>
        <v>486.6</v>
      </c>
      <c r="R132" s="55">
        <v>0.38</v>
      </c>
      <c r="S132" s="55">
        <v>48.3</v>
      </c>
      <c r="T132" s="55">
        <v>61.2</v>
      </c>
      <c r="U132" s="13" t="s">
        <v>14</v>
      </c>
      <c r="V132" s="18">
        <v>1</v>
      </c>
      <c r="W132" s="18">
        <v>11.9</v>
      </c>
      <c r="Y132" s="9" t="s">
        <v>175</v>
      </c>
    </row>
    <row r="133" spans="1:25" x14ac:dyDescent="0.25">
      <c r="A133" s="17">
        <v>42892</v>
      </c>
      <c r="B133" s="40" t="s">
        <v>69</v>
      </c>
      <c r="C133" s="40">
        <v>38.024340000000002</v>
      </c>
      <c r="D133" s="40">
        <v>-121.52598</v>
      </c>
      <c r="E133" s="40" t="s">
        <v>329</v>
      </c>
      <c r="F133" s="40" t="s">
        <v>70</v>
      </c>
      <c r="G133" s="40" t="s">
        <v>142</v>
      </c>
      <c r="H133" s="15">
        <v>0.38750000000000001</v>
      </c>
      <c r="I133" s="13" t="s">
        <v>71</v>
      </c>
      <c r="J133" s="13" t="s">
        <v>72</v>
      </c>
      <c r="K133" s="46" t="s">
        <v>222</v>
      </c>
      <c r="L133" s="13">
        <v>2</v>
      </c>
      <c r="M133" s="13">
        <v>10</v>
      </c>
      <c r="N133" s="13" t="s">
        <v>73</v>
      </c>
      <c r="O133" s="13">
        <f>AVERAGE(17,21)</f>
        <v>19</v>
      </c>
      <c r="P133" s="13">
        <f>AVERAGE(118.5,119)</f>
        <v>118.75</v>
      </c>
      <c r="Q133" s="13">
        <f>AVERAGE(118.1,119.7)</f>
        <v>118.9</v>
      </c>
      <c r="R133" s="55">
        <v>0.9850000000000001</v>
      </c>
      <c r="S133" s="55">
        <v>8.9349999999999987</v>
      </c>
      <c r="T133" s="55">
        <v>11.7</v>
      </c>
      <c r="U133" s="13" t="s">
        <v>13</v>
      </c>
      <c r="V133" s="18">
        <v>0</v>
      </c>
      <c r="W133" s="18" t="s">
        <v>13</v>
      </c>
      <c r="Y133" s="9" t="s">
        <v>175</v>
      </c>
    </row>
    <row r="134" spans="1:25" x14ac:dyDescent="0.25">
      <c r="A134" s="17">
        <v>42892</v>
      </c>
      <c r="B134" s="40" t="s">
        <v>69</v>
      </c>
      <c r="C134" s="40">
        <v>37.974209999999999</v>
      </c>
      <c r="D134" s="40">
        <v>-121.52961999999999</v>
      </c>
      <c r="E134" s="40" t="s">
        <v>330</v>
      </c>
      <c r="F134" s="40" t="s">
        <v>70</v>
      </c>
      <c r="G134" s="40" t="s">
        <v>142</v>
      </c>
      <c r="H134" s="15">
        <v>0.33888888888888885</v>
      </c>
      <c r="I134" s="13" t="s">
        <v>71</v>
      </c>
      <c r="J134" s="13" t="s">
        <v>72</v>
      </c>
      <c r="K134" s="46" t="s">
        <v>222</v>
      </c>
      <c r="L134" s="13">
        <v>2</v>
      </c>
      <c r="M134" s="13">
        <v>10</v>
      </c>
      <c r="N134" s="13" t="s">
        <v>73</v>
      </c>
      <c r="O134" s="13">
        <v>12.5</v>
      </c>
      <c r="P134" s="13">
        <f>AVERAGE(138.8,138.8)</f>
        <v>138.80000000000001</v>
      </c>
      <c r="Q134" s="13">
        <f>AVERAGE(140.1,141.3)</f>
        <v>140.69999999999999</v>
      </c>
      <c r="R134" s="55">
        <v>1.3199999999999998</v>
      </c>
      <c r="S134" s="55">
        <v>6.1349999999999998</v>
      </c>
      <c r="T134" s="55">
        <v>38.120000000000005</v>
      </c>
      <c r="U134" s="13" t="s">
        <v>13</v>
      </c>
      <c r="V134" s="18">
        <v>0</v>
      </c>
      <c r="W134" s="18" t="s">
        <v>13</v>
      </c>
      <c r="Y134" s="9" t="s">
        <v>175</v>
      </c>
    </row>
    <row r="135" spans="1:25" x14ac:dyDescent="0.25">
      <c r="A135" s="17">
        <v>42892</v>
      </c>
      <c r="B135" s="40" t="s">
        <v>69</v>
      </c>
      <c r="C135" s="40">
        <v>38.069020000000002</v>
      </c>
      <c r="D135" s="40">
        <v>-121.64794999999999</v>
      </c>
      <c r="E135" s="40" t="s">
        <v>331</v>
      </c>
      <c r="F135" s="40" t="s">
        <v>70</v>
      </c>
      <c r="G135" s="40" t="s">
        <v>152</v>
      </c>
      <c r="H135" s="15">
        <v>0.44097222222222227</v>
      </c>
      <c r="I135" s="13" t="s">
        <v>71</v>
      </c>
      <c r="J135" s="13" t="s">
        <v>72</v>
      </c>
      <c r="K135" s="46" t="s">
        <v>222</v>
      </c>
      <c r="L135" s="13">
        <v>2</v>
      </c>
      <c r="M135" s="13">
        <v>10</v>
      </c>
      <c r="N135" s="13" t="s">
        <v>73</v>
      </c>
      <c r="O135" s="13">
        <v>12.5</v>
      </c>
      <c r="P135" s="13">
        <f>AVERAGE(90.7,90.3)</f>
        <v>90.5</v>
      </c>
      <c r="Q135" s="13">
        <f>AVERAGE(90.8,90.7)</f>
        <v>90.75</v>
      </c>
      <c r="R135" s="55">
        <v>0.83499999999999996</v>
      </c>
      <c r="S135" s="55">
        <v>8.64</v>
      </c>
      <c r="T135" s="55">
        <v>18.850000000000001</v>
      </c>
      <c r="U135" s="13" t="s">
        <v>13</v>
      </c>
      <c r="V135" s="18">
        <v>0</v>
      </c>
      <c r="W135" s="18" t="s">
        <v>13</v>
      </c>
      <c r="Y135" s="9" t="s">
        <v>175</v>
      </c>
    </row>
    <row r="136" spans="1:25" x14ac:dyDescent="0.25">
      <c r="A136" s="17">
        <v>42892</v>
      </c>
      <c r="B136" s="40" t="s">
        <v>79</v>
      </c>
      <c r="C136" s="40">
        <v>38.508339999999997</v>
      </c>
      <c r="D136" s="40">
        <v>-121.58466</v>
      </c>
      <c r="E136" s="40" t="s">
        <v>332</v>
      </c>
      <c r="F136" s="40" t="s">
        <v>120</v>
      </c>
      <c r="G136" s="40" t="s">
        <v>333</v>
      </c>
      <c r="H136" s="15">
        <v>0.40208333333333335</v>
      </c>
      <c r="I136" s="13" t="s">
        <v>71</v>
      </c>
      <c r="J136" s="13" t="s">
        <v>72</v>
      </c>
      <c r="K136" s="13" t="s">
        <v>222</v>
      </c>
      <c r="L136" s="13">
        <v>2</v>
      </c>
      <c r="M136" s="13">
        <v>10</v>
      </c>
      <c r="N136" s="13" t="s">
        <v>73</v>
      </c>
      <c r="O136" s="13">
        <v>34</v>
      </c>
      <c r="P136" s="13">
        <f>AVERAGE(759,750)</f>
        <v>754.5</v>
      </c>
      <c r="Q136" s="13">
        <f>AVERAGE(753,751)</f>
        <v>752</v>
      </c>
      <c r="R136" s="55">
        <v>0.71500000000000008</v>
      </c>
      <c r="S136" s="55">
        <v>25.1</v>
      </c>
      <c r="T136" s="55">
        <v>488</v>
      </c>
      <c r="U136" s="13" t="s">
        <v>13</v>
      </c>
      <c r="V136" s="18">
        <v>0</v>
      </c>
      <c r="W136" s="18" t="s">
        <v>13</v>
      </c>
      <c r="Y136" s="9" t="s">
        <v>175</v>
      </c>
    </row>
    <row r="137" spans="1:25" x14ac:dyDescent="0.25">
      <c r="A137" s="17">
        <v>42892</v>
      </c>
      <c r="B137" s="40" t="s">
        <v>79</v>
      </c>
      <c r="C137" s="40">
        <v>38.019150000000003</v>
      </c>
      <c r="D137" s="40">
        <v>-121.81346000000001</v>
      </c>
      <c r="E137" s="40" t="s">
        <v>334</v>
      </c>
      <c r="F137" s="40" t="s">
        <v>83</v>
      </c>
      <c r="G137" s="40" t="s">
        <v>88</v>
      </c>
      <c r="H137" s="15">
        <v>0.54027777777777775</v>
      </c>
      <c r="I137" s="13" t="s">
        <v>71</v>
      </c>
      <c r="J137" s="13" t="s">
        <v>72</v>
      </c>
      <c r="K137" s="13" t="s">
        <v>222</v>
      </c>
      <c r="L137" s="13">
        <v>2</v>
      </c>
      <c r="M137" s="13">
        <v>10</v>
      </c>
      <c r="N137" s="13" t="s">
        <v>94</v>
      </c>
      <c r="O137" s="13">
        <v>49.5</v>
      </c>
      <c r="P137" s="13">
        <f>AVERAGE(104.9,105)</f>
        <v>104.95</v>
      </c>
      <c r="Q137" s="13">
        <f>AVERAGE(105.7,104.7)</f>
        <v>105.2</v>
      </c>
      <c r="R137" s="55">
        <v>0.82499999999999996</v>
      </c>
      <c r="S137" s="55">
        <v>14.3</v>
      </c>
      <c r="T137" s="55">
        <v>16.05</v>
      </c>
      <c r="U137" s="13" t="s">
        <v>13</v>
      </c>
      <c r="V137" s="18">
        <v>0</v>
      </c>
      <c r="W137" s="18" t="s">
        <v>13</v>
      </c>
      <c r="Y137" s="9" t="s">
        <v>175</v>
      </c>
    </row>
    <row r="138" spans="1:25" x14ac:dyDescent="0.25">
      <c r="A138" s="17">
        <v>42892</v>
      </c>
      <c r="B138" s="40" t="s">
        <v>79</v>
      </c>
      <c r="C138" s="40">
        <v>38.093989999999998</v>
      </c>
      <c r="D138" s="40">
        <v>-121.87463</v>
      </c>
      <c r="E138" s="40" t="s">
        <v>335</v>
      </c>
      <c r="F138" s="40" t="s">
        <v>83</v>
      </c>
      <c r="G138" s="40" t="s">
        <v>145</v>
      </c>
      <c r="H138" s="15">
        <v>0.41666666666666669</v>
      </c>
      <c r="I138" s="13" t="s">
        <v>71</v>
      </c>
      <c r="J138" s="13" t="s">
        <v>72</v>
      </c>
      <c r="K138" s="46" t="s">
        <v>222</v>
      </c>
      <c r="L138" s="13">
        <v>0</v>
      </c>
      <c r="M138" s="13">
        <v>0</v>
      </c>
      <c r="N138" s="13" t="s">
        <v>13</v>
      </c>
      <c r="O138" s="13" t="s">
        <v>13</v>
      </c>
      <c r="P138" s="13" t="s">
        <v>13</v>
      </c>
      <c r="Q138" s="13" t="s">
        <v>13</v>
      </c>
      <c r="R138" s="13" t="s">
        <v>13</v>
      </c>
      <c r="S138" s="13" t="s">
        <v>13</v>
      </c>
      <c r="T138" s="13" t="s">
        <v>13</v>
      </c>
      <c r="U138" s="13" t="s">
        <v>13</v>
      </c>
      <c r="V138" s="18" t="s">
        <v>13</v>
      </c>
      <c r="W138" s="18" t="s">
        <v>13</v>
      </c>
      <c r="X138" s="7" t="s">
        <v>336</v>
      </c>
      <c r="Y138" s="9" t="s">
        <v>175</v>
      </c>
    </row>
    <row r="139" spans="1:25" x14ac:dyDescent="0.25">
      <c r="A139" s="17">
        <v>42892</v>
      </c>
      <c r="B139" s="40" t="s">
        <v>79</v>
      </c>
      <c r="C139" s="40">
        <v>38.065980000000003</v>
      </c>
      <c r="D139" s="40">
        <v>-121.77562</v>
      </c>
      <c r="E139" s="40" t="s">
        <v>337</v>
      </c>
      <c r="F139" s="40" t="s">
        <v>83</v>
      </c>
      <c r="G139" s="40" t="s">
        <v>145</v>
      </c>
      <c r="H139" s="15">
        <v>0.49027777777777781</v>
      </c>
      <c r="I139" s="13" t="s">
        <v>71</v>
      </c>
      <c r="J139" s="13" t="s">
        <v>72</v>
      </c>
      <c r="K139" s="46" t="s">
        <v>222</v>
      </c>
      <c r="L139" s="13">
        <v>2</v>
      </c>
      <c r="M139" s="13">
        <v>10</v>
      </c>
      <c r="N139" s="13" t="s">
        <v>94</v>
      </c>
      <c r="O139" s="13">
        <v>25</v>
      </c>
      <c r="P139" s="13">
        <f>AVERAGE(85,84.9)</f>
        <v>84.95</v>
      </c>
      <c r="Q139" s="13">
        <f>AVERAGE(85.1,84.7)</f>
        <v>84.9</v>
      </c>
      <c r="R139" s="55">
        <v>0.90500000000000003</v>
      </c>
      <c r="S139" s="55">
        <v>17.3</v>
      </c>
      <c r="T139" s="55">
        <v>17.2</v>
      </c>
      <c r="U139" s="13" t="s">
        <v>13</v>
      </c>
      <c r="V139" s="18">
        <v>0</v>
      </c>
      <c r="W139" s="18" t="s">
        <v>13</v>
      </c>
      <c r="Y139" s="9" t="s">
        <v>175</v>
      </c>
    </row>
    <row r="140" spans="1:25" x14ac:dyDescent="0.25">
      <c r="A140" s="17">
        <v>42893</v>
      </c>
      <c r="B140" s="40" t="s">
        <v>79</v>
      </c>
      <c r="C140" s="40">
        <v>38.103529999999999</v>
      </c>
      <c r="D140" s="40">
        <v>-122.03075</v>
      </c>
      <c r="E140" s="40" t="s">
        <v>338</v>
      </c>
      <c r="F140" s="40" t="s">
        <v>83</v>
      </c>
      <c r="G140" s="40" t="s">
        <v>84</v>
      </c>
      <c r="H140" s="15">
        <v>0.35486111111111113</v>
      </c>
      <c r="I140" s="13" t="s">
        <v>71</v>
      </c>
      <c r="J140" s="13" t="s">
        <v>72</v>
      </c>
      <c r="K140" s="46" t="s">
        <v>222</v>
      </c>
      <c r="L140" s="13">
        <v>0</v>
      </c>
      <c r="M140" s="13">
        <v>0</v>
      </c>
      <c r="N140" s="13" t="s">
        <v>13</v>
      </c>
      <c r="O140" s="13" t="s">
        <v>13</v>
      </c>
      <c r="P140" s="13" t="s">
        <v>13</v>
      </c>
      <c r="Q140" s="13" t="s">
        <v>13</v>
      </c>
      <c r="R140" s="13" t="s">
        <v>13</v>
      </c>
      <c r="S140" s="13" t="s">
        <v>13</v>
      </c>
      <c r="T140" s="13" t="s">
        <v>13</v>
      </c>
      <c r="U140" s="13" t="s">
        <v>13</v>
      </c>
      <c r="V140" s="18" t="s">
        <v>13</v>
      </c>
      <c r="W140" s="18" t="s">
        <v>13</v>
      </c>
      <c r="X140" s="7" t="s">
        <v>336</v>
      </c>
      <c r="Y140" s="16" t="s">
        <v>175</v>
      </c>
    </row>
    <row r="141" spans="1:25" x14ac:dyDescent="0.25">
      <c r="A141" s="17">
        <v>42893</v>
      </c>
      <c r="B141" s="40" t="s">
        <v>79</v>
      </c>
      <c r="C141" s="40">
        <v>38.101280000000003</v>
      </c>
      <c r="D141" s="40">
        <v>-122.05359</v>
      </c>
      <c r="E141" s="40" t="s">
        <v>339</v>
      </c>
      <c r="F141" s="40" t="s">
        <v>83</v>
      </c>
      <c r="G141" s="40" t="s">
        <v>84</v>
      </c>
      <c r="H141" s="15">
        <v>0.3666666666666667</v>
      </c>
      <c r="I141" s="13" t="s">
        <v>71</v>
      </c>
      <c r="J141" s="13" t="s">
        <v>72</v>
      </c>
      <c r="K141" s="46" t="s">
        <v>222</v>
      </c>
      <c r="L141" s="13">
        <v>2</v>
      </c>
      <c r="M141" s="13">
        <v>10</v>
      </c>
      <c r="N141" s="13" t="s">
        <v>73</v>
      </c>
      <c r="O141" s="13">
        <f>AVERAGE(14,13.7)</f>
        <v>13.85</v>
      </c>
      <c r="P141" s="13">
        <f>AVERAGE(218.5,219.1)</f>
        <v>218.8</v>
      </c>
      <c r="Q141" s="13">
        <f>AVERAGE(217.9,210)</f>
        <v>213.95</v>
      </c>
      <c r="R141" s="55">
        <v>0.33500000000000002</v>
      </c>
      <c r="S141" s="55">
        <v>52.7</v>
      </c>
      <c r="T141" s="55">
        <v>63.349999999999994</v>
      </c>
      <c r="U141" s="13" t="s">
        <v>13</v>
      </c>
      <c r="V141" s="18">
        <v>0</v>
      </c>
      <c r="W141" s="18" t="s">
        <v>13</v>
      </c>
      <c r="Y141" s="16" t="s">
        <v>175</v>
      </c>
    </row>
    <row r="142" spans="1:25" x14ac:dyDescent="0.25">
      <c r="A142" s="17">
        <v>42893</v>
      </c>
      <c r="B142" s="40" t="s">
        <v>79</v>
      </c>
      <c r="C142" s="40">
        <v>38.032179999999997</v>
      </c>
      <c r="D142" s="40">
        <v>-121.72135</v>
      </c>
      <c r="E142" s="40" t="s">
        <v>340</v>
      </c>
      <c r="F142" s="40" t="s">
        <v>83</v>
      </c>
      <c r="G142" s="40" t="s">
        <v>88</v>
      </c>
      <c r="H142" s="15">
        <v>0.4694444444444445</v>
      </c>
      <c r="I142" s="13" t="s">
        <v>71</v>
      </c>
      <c r="J142" s="13" t="s">
        <v>72</v>
      </c>
      <c r="K142" s="46" t="s">
        <v>222</v>
      </c>
      <c r="L142" s="13">
        <v>2</v>
      </c>
      <c r="M142" s="13">
        <v>10</v>
      </c>
      <c r="N142" s="13" t="s">
        <v>73</v>
      </c>
      <c r="O142" s="13">
        <f>AVERAGE(31,29.3)</f>
        <v>30.15</v>
      </c>
      <c r="P142" s="13">
        <f>AVERAGE(130.2,130.5)</f>
        <v>130.35</v>
      </c>
      <c r="Q142" s="13">
        <f>AVERAGE(123.5,129.7)</f>
        <v>126.6</v>
      </c>
      <c r="R142" s="55">
        <v>1.2549999999999999</v>
      </c>
      <c r="S142" s="55">
        <v>21.799999999999997</v>
      </c>
      <c r="T142" s="55">
        <v>210.3</v>
      </c>
      <c r="U142" s="13" t="s">
        <v>13</v>
      </c>
      <c r="V142" s="18">
        <v>0</v>
      </c>
      <c r="W142" s="18" t="s">
        <v>13</v>
      </c>
      <c r="Y142" s="16" t="s">
        <v>175</v>
      </c>
    </row>
    <row r="143" spans="1:25" x14ac:dyDescent="0.25">
      <c r="A143" s="17">
        <v>42893</v>
      </c>
      <c r="B143" s="40" t="s">
        <v>79</v>
      </c>
      <c r="C143" s="40">
        <v>38.252110000000002</v>
      </c>
      <c r="D143" s="40">
        <v>-121.72375</v>
      </c>
      <c r="E143" s="40" t="s">
        <v>341</v>
      </c>
      <c r="F143" s="40" t="s">
        <v>120</v>
      </c>
      <c r="G143" s="40" t="s">
        <v>189</v>
      </c>
      <c r="H143" s="15">
        <v>0.54652777777777783</v>
      </c>
      <c r="I143" s="13" t="s">
        <v>71</v>
      </c>
      <c r="J143" s="13" t="s">
        <v>72</v>
      </c>
      <c r="K143" s="46" t="s">
        <v>222</v>
      </c>
      <c r="L143" s="13">
        <v>2</v>
      </c>
      <c r="M143" s="13">
        <v>10</v>
      </c>
      <c r="N143" s="13" t="s">
        <v>73</v>
      </c>
      <c r="O143" s="13">
        <f>AVERAGE(12.3,10)</f>
        <v>11.15</v>
      </c>
      <c r="P143" s="13">
        <f>AVERAGE(206.1,204.7)</f>
        <v>205.39999999999998</v>
      </c>
      <c r="Q143" s="13">
        <f>AVERAGE(203.4,205.5)</f>
        <v>204.45</v>
      </c>
      <c r="R143" s="55">
        <v>0.78</v>
      </c>
      <c r="S143" s="55">
        <v>14.5</v>
      </c>
      <c r="T143" s="55">
        <v>23.95</v>
      </c>
      <c r="U143" s="13" t="s">
        <v>13</v>
      </c>
      <c r="V143" s="18">
        <v>0</v>
      </c>
      <c r="W143" s="18" t="s">
        <v>13</v>
      </c>
      <c r="Y143" s="16" t="s">
        <v>175</v>
      </c>
    </row>
    <row r="144" spans="1:25" x14ac:dyDescent="0.25">
      <c r="A144" s="17">
        <v>42893</v>
      </c>
      <c r="B144" s="40" t="s">
        <v>124</v>
      </c>
      <c r="C144" s="40">
        <v>38.073090000000001</v>
      </c>
      <c r="D144" s="40">
        <v>-121.50157</v>
      </c>
      <c r="E144" s="40" t="s">
        <v>342</v>
      </c>
      <c r="F144" s="40" t="s">
        <v>70</v>
      </c>
      <c r="G144" s="40" t="s">
        <v>127</v>
      </c>
      <c r="H144" s="15">
        <v>0.33194444444444443</v>
      </c>
      <c r="I144" s="13" t="s">
        <v>71</v>
      </c>
      <c r="J144" s="13" t="s">
        <v>72</v>
      </c>
      <c r="K144" s="46" t="s">
        <v>222</v>
      </c>
      <c r="L144" s="13">
        <v>2</v>
      </c>
      <c r="M144" s="13">
        <v>10</v>
      </c>
      <c r="N144" s="13" t="s">
        <v>73</v>
      </c>
      <c r="O144" s="13">
        <v>19.5</v>
      </c>
      <c r="P144" s="13">
        <f>AVERAGE(68.2,68)</f>
        <v>68.099999999999994</v>
      </c>
      <c r="Q144" s="13">
        <f>AVERAGE(69.5,68.7)</f>
        <v>69.099999999999994</v>
      </c>
      <c r="R144" s="55">
        <v>1.8</v>
      </c>
      <c r="S144" s="55">
        <v>6.5350000000000001</v>
      </c>
      <c r="T144" s="55">
        <v>11.315</v>
      </c>
      <c r="U144" s="13" t="s">
        <v>13</v>
      </c>
      <c r="V144" s="18">
        <v>0</v>
      </c>
      <c r="W144" s="18" t="s">
        <v>13</v>
      </c>
      <c r="X144" s="7" t="s">
        <v>343</v>
      </c>
      <c r="Y144" s="16" t="s">
        <v>175</v>
      </c>
    </row>
    <row r="145" spans="1:25" x14ac:dyDescent="0.25">
      <c r="A145" s="17">
        <v>42893</v>
      </c>
      <c r="B145" s="40" t="s">
        <v>124</v>
      </c>
      <c r="C145" s="40">
        <v>38.116630000000001</v>
      </c>
      <c r="D145" s="40">
        <v>-121.54707999999999</v>
      </c>
      <c r="E145" s="40" t="s">
        <v>344</v>
      </c>
      <c r="F145" s="40" t="s">
        <v>70</v>
      </c>
      <c r="G145" s="40" t="s">
        <v>127</v>
      </c>
      <c r="H145" s="15">
        <v>0.3979166666666667</v>
      </c>
      <c r="I145" s="13" t="s">
        <v>71</v>
      </c>
      <c r="J145" s="13" t="s">
        <v>72</v>
      </c>
      <c r="K145" s="46" t="s">
        <v>222</v>
      </c>
      <c r="L145" s="13">
        <v>2</v>
      </c>
      <c r="M145" s="13">
        <v>10</v>
      </c>
      <c r="N145" s="13" t="s">
        <v>73</v>
      </c>
      <c r="O145" s="13">
        <v>23.5</v>
      </c>
      <c r="P145" s="13">
        <f>AVERAGE(61.1,61.1)</f>
        <v>61.1</v>
      </c>
      <c r="Q145" s="13">
        <f>AVERAGE(62.4,64.3)</f>
        <v>63.349999999999994</v>
      </c>
      <c r="R145" s="55">
        <v>1.6099999999999999</v>
      </c>
      <c r="S145" s="55">
        <v>8.2850000000000001</v>
      </c>
      <c r="T145" s="55">
        <v>26.67</v>
      </c>
      <c r="U145" s="13" t="s">
        <v>13</v>
      </c>
      <c r="V145" s="18">
        <v>0</v>
      </c>
      <c r="W145" s="18" t="s">
        <v>13</v>
      </c>
      <c r="X145" s="7" t="s">
        <v>345</v>
      </c>
      <c r="Y145" s="9" t="s">
        <v>175</v>
      </c>
    </row>
    <row r="146" spans="1:25" x14ac:dyDescent="0.25">
      <c r="A146" s="17">
        <v>42893</v>
      </c>
      <c r="B146" s="40" t="s">
        <v>124</v>
      </c>
      <c r="C146" s="40">
        <v>38.235239999999997</v>
      </c>
      <c r="D146" s="40">
        <v>-121.55896</v>
      </c>
      <c r="E146" s="40" t="s">
        <v>346</v>
      </c>
      <c r="F146" s="40" t="s">
        <v>120</v>
      </c>
      <c r="G146" s="40" t="s">
        <v>186</v>
      </c>
      <c r="H146" s="15">
        <v>0.50555555555555554</v>
      </c>
      <c r="I146" s="13" t="s">
        <v>71</v>
      </c>
      <c r="J146" s="13" t="s">
        <v>72</v>
      </c>
      <c r="K146" s="46" t="s">
        <v>222</v>
      </c>
      <c r="L146" s="13">
        <v>2</v>
      </c>
      <c r="M146" s="13">
        <v>10</v>
      </c>
      <c r="N146" s="13" t="s">
        <v>73</v>
      </c>
      <c r="O146" s="13">
        <v>30</v>
      </c>
      <c r="P146" s="13">
        <f>AVERAGE(75.7,76.1)</f>
        <v>75.900000000000006</v>
      </c>
      <c r="Q146" s="13">
        <f>AVERAGE(77,77.8)</f>
        <v>77.400000000000006</v>
      </c>
      <c r="R146" s="55">
        <v>0.83000000000000007</v>
      </c>
      <c r="S146" s="55">
        <v>17.05</v>
      </c>
      <c r="T146" s="55">
        <v>18.5</v>
      </c>
      <c r="U146" s="13" t="s">
        <v>13</v>
      </c>
      <c r="V146" s="18">
        <v>0</v>
      </c>
      <c r="W146" s="18" t="s">
        <v>13</v>
      </c>
      <c r="Y146" s="16" t="s">
        <v>175</v>
      </c>
    </row>
    <row r="147" spans="1:25" x14ac:dyDescent="0.25">
      <c r="A147" s="17">
        <v>42893</v>
      </c>
      <c r="B147" s="40" t="s">
        <v>124</v>
      </c>
      <c r="C147" s="40">
        <v>38.071100000000001</v>
      </c>
      <c r="D147" s="40">
        <v>-121.50139</v>
      </c>
      <c r="E147" s="40" t="s">
        <v>342</v>
      </c>
      <c r="F147" s="40" t="s">
        <v>70</v>
      </c>
      <c r="G147" s="40" t="s">
        <v>127</v>
      </c>
      <c r="H147" s="15">
        <v>0.33194444444444443</v>
      </c>
      <c r="I147" s="13" t="s">
        <v>71</v>
      </c>
      <c r="J147" s="13" t="s">
        <v>156</v>
      </c>
      <c r="K147" s="46" t="s">
        <v>157</v>
      </c>
      <c r="L147" s="13">
        <v>2</v>
      </c>
      <c r="M147" s="13">
        <v>10</v>
      </c>
      <c r="N147" s="13" t="s">
        <v>73</v>
      </c>
      <c r="O147" s="13">
        <f>AVERAGE(5.5,8.4)</f>
        <v>6.95</v>
      </c>
      <c r="P147" s="13">
        <f>AVERAGE(72.3,72.2)</f>
        <v>72.25</v>
      </c>
      <c r="Q147" s="13" t="s">
        <v>13</v>
      </c>
      <c r="R147" s="55">
        <v>1.75</v>
      </c>
      <c r="S147" s="55">
        <v>4.4800000000000004</v>
      </c>
      <c r="T147" s="13" t="s">
        <v>13</v>
      </c>
      <c r="U147" s="13" t="s">
        <v>13</v>
      </c>
      <c r="V147" s="18">
        <v>0</v>
      </c>
      <c r="W147" s="18" t="s">
        <v>13</v>
      </c>
      <c r="X147" s="7" t="s">
        <v>347</v>
      </c>
      <c r="Y147" s="16" t="s">
        <v>175</v>
      </c>
    </row>
    <row r="148" spans="1:25" x14ac:dyDescent="0.25">
      <c r="A148" s="17">
        <v>42893</v>
      </c>
      <c r="B148" s="40" t="s">
        <v>124</v>
      </c>
      <c r="C148" s="40">
        <v>38.116190000000003</v>
      </c>
      <c r="D148" s="40">
        <v>-121.54792</v>
      </c>
      <c r="E148" s="40" t="s">
        <v>344</v>
      </c>
      <c r="F148" s="40" t="s">
        <v>70</v>
      </c>
      <c r="G148" s="40" t="s">
        <v>127</v>
      </c>
      <c r="H148" s="15">
        <v>0.3972222222222222</v>
      </c>
      <c r="I148" s="13" t="s">
        <v>71</v>
      </c>
      <c r="J148" s="13" t="s">
        <v>156</v>
      </c>
      <c r="K148" s="46" t="s">
        <v>157</v>
      </c>
      <c r="L148" s="13">
        <v>2</v>
      </c>
      <c r="M148" s="13">
        <v>10</v>
      </c>
      <c r="N148" s="13" t="s">
        <v>94</v>
      </c>
      <c r="O148" s="13">
        <f>AVERAGE(8.5,7.2)</f>
        <v>7.85</v>
      </c>
      <c r="P148" s="13">
        <f>AVERAGE(64.6,64.9)</f>
        <v>64.75</v>
      </c>
      <c r="Q148" s="13" t="s">
        <v>13</v>
      </c>
      <c r="R148" s="55">
        <v>1.57</v>
      </c>
      <c r="S148" s="55">
        <v>4.8049999999999997</v>
      </c>
      <c r="T148" s="13" t="s">
        <v>13</v>
      </c>
      <c r="U148" s="13" t="s">
        <v>13</v>
      </c>
      <c r="V148" s="18">
        <v>0</v>
      </c>
      <c r="W148" s="18" t="s">
        <v>13</v>
      </c>
      <c r="X148" s="7" t="s">
        <v>348</v>
      </c>
      <c r="Y148" s="9" t="s">
        <v>175</v>
      </c>
    </row>
    <row r="149" spans="1:25" x14ac:dyDescent="0.25">
      <c r="A149" s="17">
        <v>42898</v>
      </c>
      <c r="B149" s="40" t="s">
        <v>124</v>
      </c>
      <c r="C149" s="40">
        <v>38.086500000000001</v>
      </c>
      <c r="D149" s="40">
        <v>-121.54516</v>
      </c>
      <c r="E149" s="40" t="s">
        <v>353</v>
      </c>
      <c r="F149" s="40" t="s">
        <v>70</v>
      </c>
      <c r="G149" s="40" t="s">
        <v>127</v>
      </c>
      <c r="H149" s="15">
        <v>0.32222222222222224</v>
      </c>
      <c r="I149" s="13" t="s">
        <v>71</v>
      </c>
      <c r="J149" s="13" t="s">
        <v>156</v>
      </c>
      <c r="K149" s="46" t="s">
        <v>157</v>
      </c>
      <c r="L149" s="13">
        <v>2</v>
      </c>
      <c r="M149" s="13">
        <v>10</v>
      </c>
      <c r="N149" s="13" t="s">
        <v>73</v>
      </c>
      <c r="O149" s="13">
        <v>10</v>
      </c>
      <c r="P149" s="13">
        <f>AVERAGE(80.8,80.7)</f>
        <v>80.75</v>
      </c>
      <c r="Q149" s="13" t="s">
        <v>13</v>
      </c>
      <c r="R149" s="13">
        <f>AVERAGE(1.18,1.26)</f>
        <v>1.22</v>
      </c>
      <c r="S149" s="13">
        <f>AVERAGE(6.76,8.08)</f>
        <v>7.42</v>
      </c>
      <c r="T149" s="13" t="s">
        <v>13</v>
      </c>
      <c r="U149" s="13" t="s">
        <v>13</v>
      </c>
      <c r="V149" s="18">
        <v>0</v>
      </c>
      <c r="W149" s="18" t="s">
        <v>13</v>
      </c>
      <c r="X149" s="7" t="s">
        <v>354</v>
      </c>
      <c r="Y149" s="42" t="s">
        <v>175</v>
      </c>
    </row>
    <row r="150" spans="1:25" x14ac:dyDescent="0.25">
      <c r="A150" s="17">
        <v>42898</v>
      </c>
      <c r="B150" s="40" t="s">
        <v>124</v>
      </c>
      <c r="C150" s="40">
        <v>38.164459999999998</v>
      </c>
      <c r="D150" s="40">
        <v>-121.48105</v>
      </c>
      <c r="E150" s="40" t="s">
        <v>357</v>
      </c>
      <c r="F150" s="40" t="s">
        <v>70</v>
      </c>
      <c r="G150" s="40" t="s">
        <v>127</v>
      </c>
      <c r="H150" s="15">
        <v>0.3888888888888889</v>
      </c>
      <c r="I150" s="13" t="s">
        <v>71</v>
      </c>
      <c r="J150" s="13" t="s">
        <v>156</v>
      </c>
      <c r="K150" s="13" t="s">
        <v>157</v>
      </c>
      <c r="L150" s="13">
        <v>2</v>
      </c>
      <c r="M150" s="13">
        <v>10</v>
      </c>
      <c r="N150" s="13" t="s">
        <v>73</v>
      </c>
      <c r="O150" s="13">
        <f>AVERAGE(8.4,6.4)</f>
        <v>7.4</v>
      </c>
      <c r="P150" s="13">
        <f>AVERAGE(305.9,317)</f>
        <v>311.45</v>
      </c>
      <c r="Q150" s="13" t="s">
        <v>13</v>
      </c>
      <c r="R150" s="13">
        <f>AVERAGE(1.18,1.05)</f>
        <v>1.115</v>
      </c>
      <c r="S150" s="13">
        <f>AVERAGE(6.38,11.3)</f>
        <v>8.84</v>
      </c>
      <c r="T150" s="13" t="s">
        <v>13</v>
      </c>
      <c r="U150" s="13" t="s">
        <v>13</v>
      </c>
      <c r="V150" s="18">
        <v>0</v>
      </c>
      <c r="W150" s="18" t="s">
        <v>13</v>
      </c>
      <c r="X150" s="7" t="s">
        <v>358</v>
      </c>
      <c r="Y150" s="61" t="s">
        <v>175</v>
      </c>
    </row>
    <row r="151" spans="1:25" x14ac:dyDescent="0.25">
      <c r="A151" s="17">
        <v>42898</v>
      </c>
      <c r="B151" s="40" t="s">
        <v>79</v>
      </c>
      <c r="C151" s="40">
        <v>38.031930000000003</v>
      </c>
      <c r="D151" s="40">
        <v>-121.77134</v>
      </c>
      <c r="E151" s="40" t="s">
        <v>359</v>
      </c>
      <c r="F151" s="40" t="s">
        <v>83</v>
      </c>
      <c r="G151" s="40" t="s">
        <v>145</v>
      </c>
      <c r="H151" s="15">
        <v>0.41666666666666669</v>
      </c>
      <c r="I151" s="13" t="s">
        <v>71</v>
      </c>
      <c r="J151" s="13" t="s">
        <v>72</v>
      </c>
      <c r="K151" s="13" t="s">
        <v>222</v>
      </c>
      <c r="L151" s="13">
        <v>2</v>
      </c>
      <c r="M151" s="13">
        <v>5</v>
      </c>
      <c r="N151" s="13" t="s">
        <v>73</v>
      </c>
      <c r="O151" s="13">
        <v>16.5</v>
      </c>
      <c r="P151" s="13">
        <f>AVERAGE(96.9,96.8)</f>
        <v>96.85</v>
      </c>
      <c r="Q151" s="13">
        <f>AVERAGE(97.2,100.3)</f>
        <v>98.75</v>
      </c>
      <c r="R151" s="13">
        <f>AVERAGE(0.77,0.79)</f>
        <v>0.78</v>
      </c>
      <c r="S151" s="13">
        <f>AVERAGE(16.9,47)</f>
        <v>31.95</v>
      </c>
      <c r="T151" s="13">
        <f>AVERAGE(22.8,312)</f>
        <v>167.4</v>
      </c>
      <c r="U151" s="13" t="s">
        <v>13</v>
      </c>
      <c r="V151" s="18">
        <v>0</v>
      </c>
      <c r="W151" s="18" t="s">
        <v>13</v>
      </c>
      <c r="X151" s="7" t="s">
        <v>360</v>
      </c>
      <c r="Y151" s="41" t="s">
        <v>175</v>
      </c>
    </row>
    <row r="152" spans="1:25" x14ac:dyDescent="0.25">
      <c r="A152" s="17">
        <v>42898</v>
      </c>
      <c r="B152" s="40" t="s">
        <v>79</v>
      </c>
      <c r="C152" s="40">
        <v>38.056350000000002</v>
      </c>
      <c r="D152" s="40">
        <v>-121.96528000000001</v>
      </c>
      <c r="E152" s="40" t="s">
        <v>361</v>
      </c>
      <c r="F152" s="40" t="s">
        <v>83</v>
      </c>
      <c r="G152" s="40" t="s">
        <v>98</v>
      </c>
      <c r="H152" s="15">
        <v>0.46319444444444446</v>
      </c>
      <c r="I152" s="13" t="s">
        <v>71</v>
      </c>
      <c r="J152" s="13" t="s">
        <v>72</v>
      </c>
      <c r="K152" s="13" t="s">
        <v>222</v>
      </c>
      <c r="L152" s="13">
        <v>2</v>
      </c>
      <c r="M152" s="13">
        <v>10</v>
      </c>
      <c r="N152" s="13" t="s">
        <v>73</v>
      </c>
      <c r="O152" s="13">
        <v>37</v>
      </c>
      <c r="P152" s="13">
        <f>AVERAGE(97.6,98)</f>
        <v>97.8</v>
      </c>
      <c r="Q152" s="13">
        <f>AVERAGE(101.5,98.3)</f>
        <v>99.9</v>
      </c>
      <c r="R152" s="13">
        <f>AVERAGE(0.7,0.61)</f>
        <v>0.65500000000000003</v>
      </c>
      <c r="S152" s="13">
        <f>AVERAGE(23.8,19.6)</f>
        <v>21.700000000000003</v>
      </c>
      <c r="T152" s="13">
        <f>AVERAGE(18.5,22.7)</f>
        <v>20.6</v>
      </c>
      <c r="U152" s="13" t="s">
        <v>14</v>
      </c>
      <c r="V152" s="18">
        <v>1</v>
      </c>
      <c r="W152" s="18">
        <v>20.6</v>
      </c>
      <c r="X152" s="7" t="s">
        <v>362</v>
      </c>
      <c r="Y152" s="41" t="s">
        <v>175</v>
      </c>
    </row>
    <row r="153" spans="1:25" x14ac:dyDescent="0.25">
      <c r="A153" s="17">
        <v>42898</v>
      </c>
      <c r="B153" s="40" t="s">
        <v>79</v>
      </c>
      <c r="C153" s="40">
        <v>38.174959999999999</v>
      </c>
      <c r="D153" s="40">
        <v>-121.66989</v>
      </c>
      <c r="E153" s="40" t="s">
        <v>363</v>
      </c>
      <c r="F153" s="40" t="s">
        <v>83</v>
      </c>
      <c r="G153" s="40" t="s">
        <v>147</v>
      </c>
      <c r="H153" s="15">
        <v>0.34652777777777777</v>
      </c>
      <c r="I153" s="13" t="s">
        <v>71</v>
      </c>
      <c r="J153" s="13" t="s">
        <v>72</v>
      </c>
      <c r="K153" s="13" t="s">
        <v>222</v>
      </c>
      <c r="L153" s="13">
        <v>2</v>
      </c>
      <c r="M153" s="13">
        <v>10</v>
      </c>
      <c r="N153" s="13" t="s">
        <v>73</v>
      </c>
      <c r="O153" s="13">
        <v>52.5</v>
      </c>
      <c r="P153" s="13">
        <f>AVERAGE(91.4,90.5)</f>
        <v>90.95</v>
      </c>
      <c r="Q153" s="13">
        <f>AVERAGE(91.4,92.5)</f>
        <v>91.95</v>
      </c>
      <c r="R153" s="13">
        <f>AVERAGE(0.76,1.1)</f>
        <v>0.93</v>
      </c>
      <c r="S153" s="13">
        <f>AVERAGE(17.8,13.6)</f>
        <v>15.7</v>
      </c>
      <c r="T153" s="13">
        <f>AVERAGE(12.4,16.2)</f>
        <v>14.3</v>
      </c>
      <c r="U153" s="13" t="s">
        <v>13</v>
      </c>
      <c r="V153" s="18">
        <v>0</v>
      </c>
      <c r="W153" s="18" t="s">
        <v>13</v>
      </c>
      <c r="Y153" s="9" t="s">
        <v>175</v>
      </c>
    </row>
    <row r="154" spans="1:25" x14ac:dyDescent="0.25">
      <c r="A154" s="17">
        <v>42898</v>
      </c>
      <c r="B154" s="40" t="s">
        <v>124</v>
      </c>
      <c r="C154" s="40">
        <v>38.087890000000002</v>
      </c>
      <c r="D154" s="40">
        <v>-121.54683</v>
      </c>
      <c r="E154" s="40" t="s">
        <v>353</v>
      </c>
      <c r="F154" s="40" t="s">
        <v>70</v>
      </c>
      <c r="G154" s="40" t="s">
        <v>127</v>
      </c>
      <c r="H154" s="15">
        <v>0.3215277777777778</v>
      </c>
      <c r="I154" s="13" t="s">
        <v>71</v>
      </c>
      <c r="J154" s="13" t="s">
        <v>72</v>
      </c>
      <c r="K154" s="13" t="s">
        <v>222</v>
      </c>
      <c r="L154" s="13">
        <v>2</v>
      </c>
      <c r="M154" s="13">
        <v>10</v>
      </c>
      <c r="N154" s="13" t="s">
        <v>73</v>
      </c>
      <c r="O154" s="13">
        <v>16.5</v>
      </c>
      <c r="P154" s="13">
        <f>AVERAGE(85.8,86.3)</f>
        <v>86.05</v>
      </c>
      <c r="Q154" s="13">
        <f>AVERAGE(86.5,86.6)</f>
        <v>86.55</v>
      </c>
      <c r="R154" s="13">
        <f>AVERAGE(1.4,1.3)</f>
        <v>1.35</v>
      </c>
      <c r="S154" s="13">
        <f>AVERAGE(8.04,9)</f>
        <v>8.52</v>
      </c>
      <c r="T154" s="13">
        <f>AVERAGE(16.1,18.4)</f>
        <v>17.25</v>
      </c>
      <c r="U154" s="13" t="s">
        <v>13</v>
      </c>
      <c r="V154" s="18">
        <v>0</v>
      </c>
      <c r="W154" s="18" t="s">
        <v>13</v>
      </c>
      <c r="X154" s="7" t="s">
        <v>364</v>
      </c>
      <c r="Y154" s="9" t="s">
        <v>175</v>
      </c>
    </row>
    <row r="155" spans="1:25" x14ac:dyDescent="0.25">
      <c r="A155" s="17">
        <v>42898</v>
      </c>
      <c r="B155" s="40" t="s">
        <v>124</v>
      </c>
      <c r="C155" s="40">
        <v>38.16525</v>
      </c>
      <c r="D155" s="40">
        <v>-121.48089</v>
      </c>
      <c r="E155" s="40" t="s">
        <v>357</v>
      </c>
      <c r="F155" s="40" t="s">
        <v>70</v>
      </c>
      <c r="G155" s="40" t="s">
        <v>127</v>
      </c>
      <c r="H155" s="15">
        <v>0.3888888888888889</v>
      </c>
      <c r="I155" s="13" t="s">
        <v>71</v>
      </c>
      <c r="J155" s="13" t="s">
        <v>72</v>
      </c>
      <c r="K155" s="13" t="s">
        <v>222</v>
      </c>
      <c r="L155" s="13">
        <v>2</v>
      </c>
      <c r="M155" s="13">
        <v>10</v>
      </c>
      <c r="N155" s="13" t="s">
        <v>73</v>
      </c>
      <c r="O155" s="13">
        <v>13</v>
      </c>
      <c r="P155" s="13">
        <f>AVERAGE(324.2,372.4)</f>
        <v>348.29999999999995</v>
      </c>
      <c r="Q155" s="13">
        <f>AVERAGE(490,484)</f>
        <v>487</v>
      </c>
      <c r="R155" s="13">
        <f>AVERAGE(1.27,1.17)</f>
        <v>1.22</v>
      </c>
      <c r="S155" s="13">
        <f>AVERAGE(9.39,13.1)</f>
        <v>11.245000000000001</v>
      </c>
      <c r="T155" s="13">
        <f>AVERAGE(19.8,35.9)</f>
        <v>27.85</v>
      </c>
      <c r="U155" s="13" t="s">
        <v>13</v>
      </c>
      <c r="V155" s="18">
        <v>0</v>
      </c>
      <c r="W155" s="18" t="s">
        <v>13</v>
      </c>
      <c r="X155" s="7" t="s">
        <v>365</v>
      </c>
      <c r="Y155" s="9" t="s">
        <v>175</v>
      </c>
    </row>
    <row r="156" spans="1:25" x14ac:dyDescent="0.25">
      <c r="A156" s="17">
        <v>42898</v>
      </c>
      <c r="B156" s="40" t="s">
        <v>124</v>
      </c>
      <c r="C156" s="40">
        <v>38.269689999999997</v>
      </c>
      <c r="D156" s="40">
        <v>-121.53368</v>
      </c>
      <c r="E156" s="40" t="s">
        <v>366</v>
      </c>
      <c r="F156" s="40" t="s">
        <v>120</v>
      </c>
      <c r="G156" s="40" t="s">
        <v>121</v>
      </c>
      <c r="H156" s="15">
        <v>0.54097222222222219</v>
      </c>
      <c r="I156" s="13" t="s">
        <v>71</v>
      </c>
      <c r="J156" s="13" t="s">
        <v>72</v>
      </c>
      <c r="K156" s="46" t="s">
        <v>222</v>
      </c>
      <c r="L156" s="13">
        <v>2</v>
      </c>
      <c r="M156" s="13">
        <v>10</v>
      </c>
      <c r="N156" s="13" t="s">
        <v>73</v>
      </c>
      <c r="O156" s="13">
        <v>25.5</v>
      </c>
      <c r="P156" s="13">
        <f>AVERAGE(93.6,94.1)</f>
        <v>93.85</v>
      </c>
      <c r="Q156" s="13">
        <f>AVERAGE(94.6,94.9)</f>
        <v>94.75</v>
      </c>
      <c r="R156" s="13">
        <f>AVERAGE(0.54,0.61)</f>
        <v>0.57499999999999996</v>
      </c>
      <c r="S156" s="13">
        <f>AVERAGE(27.1,22.6)</f>
        <v>24.85</v>
      </c>
      <c r="T156" s="13">
        <f>AVERAGE(27.2,26.2)</f>
        <v>26.7</v>
      </c>
      <c r="U156" s="13" t="s">
        <v>13</v>
      </c>
      <c r="V156" s="18">
        <v>0</v>
      </c>
      <c r="W156" s="18" t="s">
        <v>13</v>
      </c>
      <c r="Y156" s="9" t="s">
        <v>175</v>
      </c>
    </row>
    <row r="157" spans="1:25" x14ac:dyDescent="0.25">
      <c r="A157" s="17">
        <v>42899</v>
      </c>
      <c r="B157" s="40" t="s">
        <v>69</v>
      </c>
      <c r="C157" s="40">
        <v>38.061979999999998</v>
      </c>
      <c r="D157" s="40">
        <v>-121.55858000000001</v>
      </c>
      <c r="E157" s="40" t="s">
        <v>367</v>
      </c>
      <c r="F157" s="40" t="s">
        <v>70</v>
      </c>
      <c r="G157" s="40" t="s">
        <v>140</v>
      </c>
      <c r="H157" s="15">
        <v>0.31597222222222221</v>
      </c>
      <c r="I157" s="13" t="s">
        <v>71</v>
      </c>
      <c r="J157" s="13" t="s">
        <v>72</v>
      </c>
      <c r="K157" s="46" t="s">
        <v>222</v>
      </c>
      <c r="L157" s="13">
        <v>2</v>
      </c>
      <c r="M157" s="13">
        <v>10</v>
      </c>
      <c r="N157" s="13" t="s">
        <v>73</v>
      </c>
      <c r="O157" s="13">
        <f>AVERAGE(66.2,54.8)</f>
        <v>60.5</v>
      </c>
      <c r="P157" s="13">
        <f>AVERAGE(95.4,95.3)</f>
        <v>95.35</v>
      </c>
      <c r="Q157" s="13">
        <f>AVERAGE(95.4,95.2)</f>
        <v>95.300000000000011</v>
      </c>
      <c r="R157" s="13">
        <f>AVERAGE(1.02,1.1)</f>
        <v>1.06</v>
      </c>
      <c r="S157" s="13">
        <f>AVERAGE(6.34,6.51)</f>
        <v>6.4249999999999998</v>
      </c>
      <c r="T157" s="13">
        <f>AVERAGE(8.54,7.32)</f>
        <v>7.93</v>
      </c>
      <c r="U157" s="13" t="s">
        <v>13</v>
      </c>
      <c r="V157" s="18">
        <v>0</v>
      </c>
      <c r="W157" s="18" t="s">
        <v>13</v>
      </c>
      <c r="Y157" s="9" t="s">
        <v>175</v>
      </c>
    </row>
    <row r="158" spans="1:25" x14ac:dyDescent="0.25">
      <c r="A158" s="17">
        <v>42899</v>
      </c>
      <c r="B158" s="40" t="s">
        <v>69</v>
      </c>
      <c r="C158" s="40">
        <v>38.025539999999999</v>
      </c>
      <c r="D158" s="40">
        <v>-121.47857999999999</v>
      </c>
      <c r="E158" s="40" t="s">
        <v>368</v>
      </c>
      <c r="F158" s="40" t="s">
        <v>70</v>
      </c>
      <c r="G158" s="40" t="s">
        <v>216</v>
      </c>
      <c r="H158" s="15">
        <v>0.37916666666666665</v>
      </c>
      <c r="I158" s="13" t="s">
        <v>71</v>
      </c>
      <c r="J158" s="13" t="s">
        <v>72</v>
      </c>
      <c r="K158" s="46" t="s">
        <v>222</v>
      </c>
      <c r="L158" s="13">
        <v>2</v>
      </c>
      <c r="M158" s="13">
        <v>10</v>
      </c>
      <c r="N158" s="13" t="s">
        <v>73</v>
      </c>
      <c r="O158" s="13">
        <f>AVERAGE(18.5,21)</f>
        <v>19.75</v>
      </c>
      <c r="P158" s="13">
        <f>AVERAGE(104,104.4)</f>
        <v>104.2</v>
      </c>
      <c r="Q158" s="13">
        <f>AVERAGE(104.4,103.5)</f>
        <v>103.95</v>
      </c>
      <c r="R158" s="13">
        <f>AVERAGE(0.93,1.03)</f>
        <v>0.98</v>
      </c>
      <c r="S158" s="13">
        <f>AVERAGE(8.29,11.4)</f>
        <v>9.8449999999999989</v>
      </c>
      <c r="T158" s="13">
        <f>AVERAGE(20,26.9)</f>
        <v>23.45</v>
      </c>
      <c r="U158" s="13" t="s">
        <v>13</v>
      </c>
      <c r="V158" s="18">
        <v>0</v>
      </c>
      <c r="W158" s="18" t="s">
        <v>13</v>
      </c>
      <c r="Y158" s="9" t="s">
        <v>175</v>
      </c>
    </row>
    <row r="159" spans="1:25" x14ac:dyDescent="0.25">
      <c r="A159" s="17">
        <v>42899</v>
      </c>
      <c r="B159" s="40" t="s">
        <v>69</v>
      </c>
      <c r="C159" s="40">
        <v>37.988930000000003</v>
      </c>
      <c r="D159" s="40">
        <v>-121.40053</v>
      </c>
      <c r="E159" s="40" t="s">
        <v>369</v>
      </c>
      <c r="F159" s="40" t="s">
        <v>70</v>
      </c>
      <c r="G159" s="40" t="s">
        <v>216</v>
      </c>
      <c r="H159" s="15">
        <v>0.42083333333333334</v>
      </c>
      <c r="I159" s="13" t="s">
        <v>71</v>
      </c>
      <c r="J159" s="13" t="s">
        <v>72</v>
      </c>
      <c r="K159" s="46" t="s">
        <v>222</v>
      </c>
      <c r="L159" s="13">
        <v>2</v>
      </c>
      <c r="M159" s="13">
        <v>10</v>
      </c>
      <c r="N159" s="13" t="s">
        <v>73</v>
      </c>
      <c r="O159" s="13">
        <f>AVERAGE(40.1,37)</f>
        <v>38.549999999999997</v>
      </c>
      <c r="P159" s="13">
        <f>AVERAGE(89.5,89.6)</f>
        <v>89.55</v>
      </c>
      <c r="Q159" s="13">
        <f>AVERAGE(91.8,90)</f>
        <v>90.9</v>
      </c>
      <c r="R159" s="13">
        <f>AVERAGE(0.52,0.52)</f>
        <v>0.52</v>
      </c>
      <c r="S159" s="13">
        <f>AVERAGE(17,15.8)</f>
        <v>16.399999999999999</v>
      </c>
      <c r="T159" s="13">
        <f>AVERAGE(19.6,16.1)</f>
        <v>17.850000000000001</v>
      </c>
      <c r="U159" s="13" t="s">
        <v>13</v>
      </c>
      <c r="V159" s="18">
        <v>0</v>
      </c>
      <c r="W159" s="18" t="s">
        <v>13</v>
      </c>
      <c r="Y159" s="9" t="s">
        <v>175</v>
      </c>
    </row>
    <row r="160" spans="1:25" x14ac:dyDescent="0.25">
      <c r="A160" s="17">
        <v>42899</v>
      </c>
      <c r="B160" s="40" t="s">
        <v>79</v>
      </c>
      <c r="C160" s="40">
        <v>38.057639999999999</v>
      </c>
      <c r="D160" s="40">
        <v>-121.8764</v>
      </c>
      <c r="E160" s="40" t="s">
        <v>370</v>
      </c>
      <c r="F160" s="40" t="s">
        <v>83</v>
      </c>
      <c r="G160" s="40" t="s">
        <v>145</v>
      </c>
      <c r="H160" s="15">
        <v>0.4291666666666667</v>
      </c>
      <c r="I160" s="13" t="s">
        <v>71</v>
      </c>
      <c r="J160" s="13" t="s">
        <v>72</v>
      </c>
      <c r="K160" s="46" t="s">
        <v>222</v>
      </c>
      <c r="L160" s="13">
        <v>2</v>
      </c>
      <c r="M160" s="13">
        <v>10</v>
      </c>
      <c r="N160" s="13" t="s">
        <v>73</v>
      </c>
      <c r="O160" s="13">
        <f>AVERAGE(18,19)</f>
        <v>18.5</v>
      </c>
      <c r="P160" s="13">
        <f>AVERAGE(97.1,96.3)</f>
        <v>96.699999999999989</v>
      </c>
      <c r="Q160" s="13">
        <f>AVERAGE(97.4,101.3)</f>
        <v>99.35</v>
      </c>
      <c r="R160" s="13">
        <f>AVERAGE(0.7,0.7)</f>
        <v>0.7</v>
      </c>
      <c r="S160" s="13">
        <f>AVERAGE(26.4,20.1)</f>
        <v>23.25</v>
      </c>
      <c r="T160" s="13">
        <f>AVERAGE(26.6,39)</f>
        <v>32.799999999999997</v>
      </c>
      <c r="U160" s="13" t="s">
        <v>13</v>
      </c>
      <c r="V160" s="18">
        <v>0</v>
      </c>
      <c r="W160" s="18" t="s">
        <v>13</v>
      </c>
      <c r="Y160" s="9" t="s">
        <v>175</v>
      </c>
    </row>
    <row r="161" spans="1:25" x14ac:dyDescent="0.25">
      <c r="A161" s="17">
        <v>42899</v>
      </c>
      <c r="B161" s="40" t="s">
        <v>79</v>
      </c>
      <c r="C161" s="40">
        <v>38.050109999999997</v>
      </c>
      <c r="D161" s="40">
        <v>-121.95643</v>
      </c>
      <c r="E161" s="40" t="s">
        <v>371</v>
      </c>
      <c r="F161" s="40" t="s">
        <v>83</v>
      </c>
      <c r="G161" s="40" t="s">
        <v>98</v>
      </c>
      <c r="H161" s="15">
        <v>0.3444444444444445</v>
      </c>
      <c r="I161" s="13" t="s">
        <v>71</v>
      </c>
      <c r="J161" s="13" t="s">
        <v>72</v>
      </c>
      <c r="K161" s="46" t="s">
        <v>222</v>
      </c>
      <c r="L161" s="13">
        <v>2</v>
      </c>
      <c r="M161" s="13">
        <v>10</v>
      </c>
      <c r="N161" s="13" t="s">
        <v>73</v>
      </c>
      <c r="O161" s="13">
        <v>17</v>
      </c>
      <c r="P161" s="13">
        <f>AVERAGE(109.4,111.7)</f>
        <v>110.55000000000001</v>
      </c>
      <c r="Q161" s="13">
        <f>AVERAGE(112.4,109.8)</f>
        <v>111.1</v>
      </c>
      <c r="R161" s="13">
        <f>AVERAGE(0.61,0.62)</f>
        <v>0.61499999999999999</v>
      </c>
      <c r="S161" s="13">
        <f>AVERAGE(17.2,23.2)</f>
        <v>20.2</v>
      </c>
      <c r="T161" s="13">
        <f>AVERAGE(19.4,23.7)</f>
        <v>21.549999999999997</v>
      </c>
      <c r="U161" s="13" t="s">
        <v>13</v>
      </c>
      <c r="V161" s="18">
        <v>0</v>
      </c>
      <c r="W161" s="18" t="s">
        <v>13</v>
      </c>
      <c r="Y161" s="9" t="s">
        <v>175</v>
      </c>
    </row>
    <row r="162" spans="1:25" x14ac:dyDescent="0.25">
      <c r="A162" s="17">
        <v>42899</v>
      </c>
      <c r="B162" s="40" t="s">
        <v>79</v>
      </c>
      <c r="C162" s="40">
        <v>38.054639999999999</v>
      </c>
      <c r="D162" s="40">
        <v>-121.84764</v>
      </c>
      <c r="E162" s="40" t="s">
        <v>372</v>
      </c>
      <c r="F162" s="40" t="s">
        <v>83</v>
      </c>
      <c r="G162" s="40" t="s">
        <v>88</v>
      </c>
      <c r="H162" s="15">
        <v>0.39166666666666666</v>
      </c>
      <c r="I162" s="13" t="s">
        <v>71</v>
      </c>
      <c r="J162" s="13" t="s">
        <v>72</v>
      </c>
      <c r="K162" s="46" t="s">
        <v>222</v>
      </c>
      <c r="L162" s="13">
        <v>2</v>
      </c>
      <c r="M162" s="13">
        <v>10</v>
      </c>
      <c r="N162" s="13" t="s">
        <v>94</v>
      </c>
      <c r="O162" s="13">
        <v>24</v>
      </c>
      <c r="P162" s="13">
        <f>AVERAGE(98.1,98.4)</f>
        <v>98.25</v>
      </c>
      <c r="Q162" s="13">
        <f>AVERAGE(98.6,98.4)</f>
        <v>98.5</v>
      </c>
      <c r="R162" s="13">
        <f>AVERAGE(0.69,0.74)</f>
        <v>0.71499999999999997</v>
      </c>
      <c r="S162" s="13">
        <f>AVERAGE(16.8,20)</f>
        <v>18.399999999999999</v>
      </c>
      <c r="T162" s="13">
        <f>AVERAGE(21.3,20.1)</f>
        <v>20.700000000000003</v>
      </c>
      <c r="U162" s="13" t="s">
        <v>13</v>
      </c>
      <c r="V162" s="18">
        <v>0</v>
      </c>
      <c r="W162" s="18" t="s">
        <v>13</v>
      </c>
      <c r="Y162" s="9" t="s">
        <v>175</v>
      </c>
    </row>
    <row r="163" spans="1:25" x14ac:dyDescent="0.25">
      <c r="A163" s="17">
        <v>42900</v>
      </c>
      <c r="B163" s="40" t="s">
        <v>69</v>
      </c>
      <c r="C163" s="40">
        <v>37.91516</v>
      </c>
      <c r="D163" s="40">
        <v>-121.51535</v>
      </c>
      <c r="E163" s="40" t="s">
        <v>373</v>
      </c>
      <c r="F163" s="40" t="s">
        <v>70</v>
      </c>
      <c r="G163" s="40" t="s">
        <v>96</v>
      </c>
      <c r="H163" s="15">
        <v>0.34097222222222223</v>
      </c>
      <c r="I163" s="13" t="s">
        <v>71</v>
      </c>
      <c r="J163" s="13" t="s">
        <v>72</v>
      </c>
      <c r="K163" s="46" t="s">
        <v>222</v>
      </c>
      <c r="L163" s="13">
        <v>2</v>
      </c>
      <c r="M163" s="13">
        <v>10</v>
      </c>
      <c r="N163" s="13" t="s">
        <v>73</v>
      </c>
      <c r="O163" s="13">
        <v>15.5</v>
      </c>
      <c r="P163" s="13">
        <f>AVERAGE(125.4,123.8)</f>
        <v>124.6</v>
      </c>
      <c r="Q163" s="13">
        <f>AVERAGE(124,127.4)</f>
        <v>125.7</v>
      </c>
      <c r="R163" s="13">
        <f>AVERAGE(0.9,0.95)</f>
        <v>0.92500000000000004</v>
      </c>
      <c r="S163" s="13">
        <f>AVERAGE(11.9,12.4)</f>
        <v>12.15</v>
      </c>
      <c r="T163" s="13">
        <f>AVERAGE(13.8,11.9)</f>
        <v>12.850000000000001</v>
      </c>
      <c r="U163" s="13" t="s">
        <v>13</v>
      </c>
      <c r="V163" s="18">
        <v>0</v>
      </c>
      <c r="W163" s="18" t="s">
        <v>13</v>
      </c>
      <c r="Y163" s="9" t="s">
        <v>175</v>
      </c>
    </row>
    <row r="164" spans="1:25" x14ac:dyDescent="0.25">
      <c r="A164" s="17">
        <v>42900</v>
      </c>
      <c r="B164" s="40" t="s">
        <v>69</v>
      </c>
      <c r="C164" s="40">
        <v>37.99004</v>
      </c>
      <c r="D164" s="40">
        <v>-121.52207</v>
      </c>
      <c r="E164" s="40" t="s">
        <v>374</v>
      </c>
      <c r="F164" s="40" t="s">
        <v>70</v>
      </c>
      <c r="G164" s="40" t="s">
        <v>142</v>
      </c>
      <c r="H164" s="15">
        <v>0.39027777777777778</v>
      </c>
      <c r="I164" s="13" t="s">
        <v>71</v>
      </c>
      <c r="J164" s="13" t="s">
        <v>72</v>
      </c>
      <c r="K164" s="46" t="s">
        <v>375</v>
      </c>
      <c r="L164" s="13">
        <v>2</v>
      </c>
      <c r="M164" s="13">
        <v>10</v>
      </c>
      <c r="N164" s="13" t="s">
        <v>73</v>
      </c>
      <c r="O164" s="13">
        <v>14.5</v>
      </c>
      <c r="P164" s="13">
        <f>AVERAGE(108.6,110.6)</f>
        <v>109.6</v>
      </c>
      <c r="Q164" s="13">
        <f>AVERAGE(109,110.1)</f>
        <v>109.55</v>
      </c>
      <c r="R164" s="13">
        <f>AVERAGE(1.26,1.28)</f>
        <v>1.27</v>
      </c>
      <c r="S164" s="13">
        <f>AVERAGE(7.82,7.43)</f>
        <v>7.625</v>
      </c>
      <c r="T164" s="13">
        <f>AVERAGE(6.88,10.6)</f>
        <v>8.74</v>
      </c>
      <c r="U164" s="13" t="s">
        <v>13</v>
      </c>
      <c r="V164" s="18">
        <v>0</v>
      </c>
      <c r="W164" s="18" t="s">
        <v>13</v>
      </c>
      <c r="Y164" s="9" t="s">
        <v>175</v>
      </c>
    </row>
    <row r="165" spans="1:25" x14ac:dyDescent="0.25">
      <c r="A165" s="17">
        <v>42900</v>
      </c>
      <c r="B165" s="40" t="s">
        <v>69</v>
      </c>
      <c r="C165" s="40">
        <v>38.062950000000001</v>
      </c>
      <c r="D165" s="40">
        <v>-121.61449</v>
      </c>
      <c r="E165" s="40" t="s">
        <v>376</v>
      </c>
      <c r="F165" s="40" t="s">
        <v>70</v>
      </c>
      <c r="G165" s="40" t="s">
        <v>152</v>
      </c>
      <c r="H165" s="15">
        <v>0.44166666666666665</v>
      </c>
      <c r="I165" s="13" t="s">
        <v>71</v>
      </c>
      <c r="J165" s="13" t="s">
        <v>72</v>
      </c>
      <c r="K165" s="46" t="s">
        <v>222</v>
      </c>
      <c r="L165" s="13">
        <v>2</v>
      </c>
      <c r="M165" s="13">
        <v>10</v>
      </c>
      <c r="N165" s="13" t="s">
        <v>73</v>
      </c>
      <c r="O165" s="13">
        <v>20.5</v>
      </c>
      <c r="P165" s="13">
        <f>AVERAGE(93.6,93.5)</f>
        <v>93.55</v>
      </c>
      <c r="Q165" s="13">
        <f>AVERAGE(93.9,94.8)</f>
        <v>94.35</v>
      </c>
      <c r="R165" s="13">
        <f>AVERAGE(1.9,1.23)</f>
        <v>1.5649999999999999</v>
      </c>
      <c r="S165" s="13">
        <f>AVERAGE(8.06,9.41)</f>
        <v>8.7349999999999994</v>
      </c>
      <c r="T165" s="13">
        <f>AVERAGE(9.91,9.12)</f>
        <v>9.5150000000000006</v>
      </c>
      <c r="U165" s="13" t="s">
        <v>13</v>
      </c>
      <c r="V165" s="18">
        <v>0</v>
      </c>
      <c r="W165" s="18" t="s">
        <v>13</v>
      </c>
      <c r="Y165" s="9" t="s">
        <v>175</v>
      </c>
    </row>
    <row r="166" spans="1:25" x14ac:dyDescent="0.25">
      <c r="A166" s="17">
        <v>42900</v>
      </c>
      <c r="B166" s="40" t="s">
        <v>100</v>
      </c>
      <c r="C166" s="40">
        <v>38.09254</v>
      </c>
      <c r="D166" s="40">
        <v>-122.07418</v>
      </c>
      <c r="E166" s="40" t="s">
        <v>377</v>
      </c>
      <c r="F166" s="40" t="s">
        <v>102</v>
      </c>
      <c r="G166" s="40" t="s">
        <v>131</v>
      </c>
      <c r="H166" s="8">
        <v>0.35625000000000001</v>
      </c>
      <c r="I166" s="40" t="s">
        <v>71</v>
      </c>
      <c r="J166" s="40" t="s">
        <v>72</v>
      </c>
      <c r="K166" s="43" t="s">
        <v>222</v>
      </c>
      <c r="L166" s="40">
        <v>2</v>
      </c>
      <c r="M166" s="40">
        <v>10</v>
      </c>
      <c r="N166" s="40" t="s">
        <v>73</v>
      </c>
      <c r="O166" s="40">
        <v>30</v>
      </c>
      <c r="P166" s="13">
        <f>AVERAGE(465,396.6)</f>
        <v>430.8</v>
      </c>
      <c r="Q166" s="13">
        <f>AVERAGE(7094,7480)</f>
        <v>7287</v>
      </c>
      <c r="R166" s="13">
        <f>AVERAGE(0.23,0.25)</f>
        <v>0.24</v>
      </c>
      <c r="S166" s="13" t="s">
        <v>13</v>
      </c>
      <c r="T166" s="13">
        <f>AVERAGE(28.5,39.5)</f>
        <v>34</v>
      </c>
      <c r="U166" s="13" t="s">
        <v>45</v>
      </c>
      <c r="V166" s="18">
        <v>2</v>
      </c>
      <c r="W166" s="18" t="s">
        <v>378</v>
      </c>
      <c r="X166" s="7" t="s">
        <v>379</v>
      </c>
      <c r="Y166" s="9" t="s">
        <v>175</v>
      </c>
    </row>
    <row r="167" spans="1:25" x14ac:dyDescent="0.25">
      <c r="A167" s="17">
        <v>42900</v>
      </c>
      <c r="B167" s="40" t="s">
        <v>100</v>
      </c>
      <c r="C167" s="40">
        <v>38.050379999999997</v>
      </c>
      <c r="D167" s="40">
        <v>-122.30692999999999</v>
      </c>
      <c r="E167" s="40" t="s">
        <v>380</v>
      </c>
      <c r="F167" s="40" t="s">
        <v>102</v>
      </c>
      <c r="G167" s="40" t="s">
        <v>104</v>
      </c>
      <c r="H167" s="15">
        <v>0.43333333333333335</v>
      </c>
      <c r="I167" s="13" t="s">
        <v>71</v>
      </c>
      <c r="J167" s="13" t="s">
        <v>72</v>
      </c>
      <c r="K167" s="46" t="s">
        <v>222</v>
      </c>
      <c r="L167" s="13">
        <v>2</v>
      </c>
      <c r="M167" s="13">
        <v>10</v>
      </c>
      <c r="N167" s="13" t="s">
        <v>94</v>
      </c>
      <c r="O167" s="13">
        <v>29</v>
      </c>
      <c r="P167" s="13">
        <f>AVERAGE(13263,10461)</f>
        <v>11862</v>
      </c>
      <c r="Q167" s="13">
        <f>AVERAGE(23401,18958)</f>
        <v>21179.5</v>
      </c>
      <c r="R167" s="13">
        <f>AVERAGE(0.63,0.63)</f>
        <v>0.63</v>
      </c>
      <c r="S167" s="13">
        <f>AVERAGE(24.4,16.8)</f>
        <v>20.6</v>
      </c>
      <c r="T167" s="13" t="s">
        <v>13</v>
      </c>
      <c r="U167" s="13" t="s">
        <v>13</v>
      </c>
      <c r="V167" s="18">
        <v>0</v>
      </c>
      <c r="W167" s="18" t="s">
        <v>13</v>
      </c>
      <c r="X167" s="7" t="s">
        <v>381</v>
      </c>
      <c r="Y167" s="9" t="s">
        <v>175</v>
      </c>
    </row>
    <row r="168" spans="1:25" x14ac:dyDescent="0.25">
      <c r="A168" s="17">
        <v>42900</v>
      </c>
      <c r="B168" s="40" t="s">
        <v>100</v>
      </c>
      <c r="C168" s="40">
        <v>38.061160000000001</v>
      </c>
      <c r="D168" s="40">
        <v>-122.25942000000001</v>
      </c>
      <c r="E168" s="40" t="s">
        <v>382</v>
      </c>
      <c r="F168" s="40" t="s">
        <v>102</v>
      </c>
      <c r="G168" s="40" t="s">
        <v>105</v>
      </c>
      <c r="H168" s="15">
        <v>0.48680555555555555</v>
      </c>
      <c r="I168" s="13" t="s">
        <v>71</v>
      </c>
      <c r="J168" s="13" t="s">
        <v>72</v>
      </c>
      <c r="K168" s="46" t="s">
        <v>222</v>
      </c>
      <c r="L168" s="13">
        <v>2</v>
      </c>
      <c r="M168" s="13">
        <v>10</v>
      </c>
      <c r="N168" s="13" t="s">
        <v>94</v>
      </c>
      <c r="O168" s="13">
        <v>71</v>
      </c>
      <c r="P168" s="13">
        <f>AVERAGE(7801,5702)</f>
        <v>6751.5</v>
      </c>
      <c r="Q168" s="13">
        <f>AVERAGE(14135,12237)</f>
        <v>13186</v>
      </c>
      <c r="R168" s="13">
        <f>AVERAGE(0.42,0.41)</f>
        <v>0.41499999999999998</v>
      </c>
      <c r="S168" s="13">
        <f>AVERAGE(26.8,27.4)</f>
        <v>27.1</v>
      </c>
      <c r="T168" s="13" t="s">
        <v>13</v>
      </c>
      <c r="U168" s="13" t="s">
        <v>45</v>
      </c>
      <c r="V168" s="14">
        <v>1</v>
      </c>
      <c r="W168" s="14">
        <v>35</v>
      </c>
      <c r="X168" s="7" t="s">
        <v>383</v>
      </c>
      <c r="Y168" s="14" t="s">
        <v>175</v>
      </c>
    </row>
    <row r="169" spans="1:25" x14ac:dyDescent="0.25">
      <c r="A169" s="17">
        <v>42905</v>
      </c>
      <c r="B169" s="40" t="s">
        <v>124</v>
      </c>
      <c r="C169" s="40">
        <v>38.147399999999998</v>
      </c>
      <c r="D169" s="40">
        <v>-121.59993</v>
      </c>
      <c r="E169" s="40" t="s">
        <v>385</v>
      </c>
      <c r="F169" s="40" t="s">
        <v>120</v>
      </c>
      <c r="G169" s="40" t="s">
        <v>186</v>
      </c>
      <c r="H169" s="15">
        <v>0.34375</v>
      </c>
      <c r="I169" s="13" t="s">
        <v>71</v>
      </c>
      <c r="J169" s="13" t="s">
        <v>72</v>
      </c>
      <c r="K169" s="46" t="s">
        <v>222</v>
      </c>
      <c r="L169" s="13">
        <v>2</v>
      </c>
      <c r="M169" s="13">
        <v>10</v>
      </c>
      <c r="N169" s="13" t="s">
        <v>73</v>
      </c>
      <c r="O169" s="13">
        <v>17.5</v>
      </c>
      <c r="P169" s="13">
        <f>AVERAGE(114.1,114.8)</f>
        <v>114.44999999999999</v>
      </c>
      <c r="Q169" s="13">
        <f>AVERAGE(115.7,117.5)</f>
        <v>116.6</v>
      </c>
      <c r="R169" s="13">
        <f>AVERAGE(0.98,0.97)</f>
        <v>0.97499999999999998</v>
      </c>
      <c r="S169" s="13">
        <f>AVERAGE(13.1,12.8)</f>
        <v>12.95</v>
      </c>
      <c r="T169" s="13">
        <f>AVERAGE(17.2,15.6)</f>
        <v>16.399999999999999</v>
      </c>
      <c r="U169" s="13" t="s">
        <v>13</v>
      </c>
      <c r="V169" s="18">
        <v>0</v>
      </c>
      <c r="W169" s="18" t="s">
        <v>13</v>
      </c>
      <c r="Y169" s="9" t="s">
        <v>384</v>
      </c>
    </row>
    <row r="170" spans="1:25" x14ac:dyDescent="0.25">
      <c r="A170" s="17">
        <v>42905</v>
      </c>
      <c r="B170" s="40" t="s">
        <v>124</v>
      </c>
      <c r="C170" s="40">
        <v>38.335250000000002</v>
      </c>
      <c r="D170" s="40">
        <v>-121.56721</v>
      </c>
      <c r="E170" s="40" t="s">
        <v>386</v>
      </c>
      <c r="F170" s="40" t="s">
        <v>120</v>
      </c>
      <c r="G170" s="40" t="s">
        <v>121</v>
      </c>
      <c r="H170" s="15">
        <v>0.44236111111111115</v>
      </c>
      <c r="I170" s="13" t="s">
        <v>71</v>
      </c>
      <c r="J170" s="13" t="s">
        <v>72</v>
      </c>
      <c r="K170" s="46" t="s">
        <v>222</v>
      </c>
      <c r="L170" s="13">
        <v>2</v>
      </c>
      <c r="M170" s="13">
        <v>10</v>
      </c>
      <c r="N170" s="13" t="s">
        <v>73</v>
      </c>
      <c r="O170" s="13">
        <v>20.5</v>
      </c>
      <c r="P170" s="13">
        <f>AVERAGE(115.7,115.7)</f>
        <v>115.7</v>
      </c>
      <c r="Q170" s="13">
        <f>AVERAGE(116.5,117.1)</f>
        <v>116.8</v>
      </c>
      <c r="R170" s="13">
        <f>AVERAGE(0.74,1.12)</f>
        <v>0.93</v>
      </c>
      <c r="S170" s="13">
        <f>AVERAGE(30,18.2)</f>
        <v>24.1</v>
      </c>
      <c r="T170" s="13">
        <f>AVERAGE(25.3,25.4)</f>
        <v>25.35</v>
      </c>
      <c r="U170" s="13" t="s">
        <v>13</v>
      </c>
      <c r="V170" s="18">
        <v>0</v>
      </c>
      <c r="W170" s="18" t="s">
        <v>13</v>
      </c>
      <c r="Y170" s="9" t="s">
        <v>175</v>
      </c>
    </row>
    <row r="171" spans="1:25" x14ac:dyDescent="0.25">
      <c r="A171" s="17">
        <v>42905</v>
      </c>
      <c r="B171" s="40" t="s">
        <v>124</v>
      </c>
      <c r="C171" s="40">
        <v>38.171329999999998</v>
      </c>
      <c r="D171" s="40">
        <v>-121.49678</v>
      </c>
      <c r="E171" s="40" t="s">
        <v>387</v>
      </c>
      <c r="F171" s="40" t="s">
        <v>70</v>
      </c>
      <c r="G171" s="40" t="s">
        <v>127</v>
      </c>
      <c r="H171" s="15">
        <v>0.57916666666666672</v>
      </c>
      <c r="I171" s="13" t="s">
        <v>71</v>
      </c>
      <c r="J171" s="13" t="s">
        <v>72</v>
      </c>
      <c r="K171" s="46" t="s">
        <v>222</v>
      </c>
      <c r="L171" s="13">
        <v>2</v>
      </c>
      <c r="M171" s="13">
        <v>10</v>
      </c>
      <c r="N171" s="13" t="s">
        <v>94</v>
      </c>
      <c r="O171" s="13">
        <f>AVERAGE(10.3,15.2)</f>
        <v>12.75</v>
      </c>
      <c r="P171" s="13">
        <f>AVERAGE(153.3,147.1)</f>
        <v>150.19999999999999</v>
      </c>
      <c r="Q171" s="13">
        <f>AVERAGE(146.4,155.3)</f>
        <v>150.85000000000002</v>
      </c>
      <c r="R171" s="13">
        <f>AVERAGE(0.95,0.85)</f>
        <v>0.89999999999999991</v>
      </c>
      <c r="S171" s="13">
        <f>AVERAGE(25.4,28)</f>
        <v>26.7</v>
      </c>
      <c r="T171" s="13">
        <f>AVERAGE(25.7,16.8)</f>
        <v>21.25</v>
      </c>
      <c r="U171" s="13" t="s">
        <v>13</v>
      </c>
      <c r="V171" s="18">
        <v>0</v>
      </c>
      <c r="W171" s="18" t="s">
        <v>13</v>
      </c>
      <c r="Y171" s="9" t="s">
        <v>175</v>
      </c>
    </row>
    <row r="172" spans="1:25" x14ac:dyDescent="0.25">
      <c r="A172" s="17">
        <v>42905</v>
      </c>
      <c r="B172" s="40" t="s">
        <v>100</v>
      </c>
      <c r="C172" s="40">
        <v>38.037080000000003</v>
      </c>
      <c r="D172" s="40">
        <v>-122.1382</v>
      </c>
      <c r="E172" s="40" t="s">
        <v>388</v>
      </c>
      <c r="F172" s="40" t="s">
        <v>102</v>
      </c>
      <c r="G172" s="40" t="s">
        <v>131</v>
      </c>
      <c r="H172" s="15">
        <v>0.3611111111111111</v>
      </c>
      <c r="I172" s="13" t="s">
        <v>71</v>
      </c>
      <c r="J172" s="13" t="s">
        <v>72</v>
      </c>
      <c r="K172" s="46" t="s">
        <v>222</v>
      </c>
      <c r="L172" s="13">
        <v>2</v>
      </c>
      <c r="M172" s="13">
        <v>10</v>
      </c>
      <c r="N172" s="13" t="s">
        <v>73</v>
      </c>
      <c r="O172" s="13">
        <v>44.5</v>
      </c>
      <c r="P172" s="13">
        <f>AVERAGE(8464,9127)</f>
        <v>8795.5</v>
      </c>
      <c r="Q172" s="13">
        <f>AVERAGE(18614,12874)</f>
        <v>15744</v>
      </c>
      <c r="R172" s="13">
        <f>AVERAGE(0.57,0.6)</f>
        <v>0.58499999999999996</v>
      </c>
      <c r="S172" s="13">
        <f>AVERAGE(19.8,69.5)</f>
        <v>44.65</v>
      </c>
      <c r="T172" s="13">
        <f>AVERAGE(17.6,37.8)</f>
        <v>27.7</v>
      </c>
      <c r="U172" s="13" t="s">
        <v>13</v>
      </c>
      <c r="V172" s="18">
        <v>0</v>
      </c>
      <c r="W172" s="18" t="s">
        <v>13</v>
      </c>
      <c r="Y172" s="9" t="s">
        <v>175</v>
      </c>
    </row>
    <row r="173" spans="1:25" x14ac:dyDescent="0.25">
      <c r="A173" s="17">
        <v>42905</v>
      </c>
      <c r="B173" s="40" t="s">
        <v>100</v>
      </c>
      <c r="C173" s="40">
        <v>38.063119999999998</v>
      </c>
      <c r="D173" s="40">
        <v>-122.21111999999999</v>
      </c>
      <c r="E173" s="40" t="s">
        <v>389</v>
      </c>
      <c r="F173" s="40" t="s">
        <v>102</v>
      </c>
      <c r="G173" s="40" t="s">
        <v>105</v>
      </c>
      <c r="H173" s="15">
        <v>0.40416666666666662</v>
      </c>
      <c r="I173" s="13" t="s">
        <v>71</v>
      </c>
      <c r="J173" s="13" t="s">
        <v>72</v>
      </c>
      <c r="K173" s="46" t="s">
        <v>222</v>
      </c>
      <c r="L173" s="13">
        <v>2</v>
      </c>
      <c r="M173" s="13">
        <v>10</v>
      </c>
      <c r="N173" s="13" t="s">
        <v>94</v>
      </c>
      <c r="O173" s="13">
        <f>AVERAGE(7.61,7.45)</f>
        <v>7.53</v>
      </c>
      <c r="P173" s="13">
        <f>AVERAGE(16710,17287)</f>
        <v>16998.5</v>
      </c>
      <c r="Q173" s="13">
        <f>AVERAGE(23635,24669)</f>
        <v>24152</v>
      </c>
      <c r="R173" s="13">
        <f>AVERAGE(0.87,0.82)</f>
        <v>0.84499999999999997</v>
      </c>
      <c r="S173" s="13">
        <f>AVERAGE(18.4,18.3)</f>
        <v>18.350000000000001</v>
      </c>
      <c r="T173" s="13">
        <f>AVERAGE(25.3,40.1)</f>
        <v>32.700000000000003</v>
      </c>
      <c r="U173" s="13" t="s">
        <v>13</v>
      </c>
      <c r="V173" s="18">
        <v>0</v>
      </c>
      <c r="W173" s="18" t="s">
        <v>13</v>
      </c>
      <c r="Y173" s="9" t="s">
        <v>175</v>
      </c>
    </row>
    <row r="174" spans="1:25" x14ac:dyDescent="0.25">
      <c r="A174" s="17">
        <v>42905</v>
      </c>
      <c r="B174" s="40" t="s">
        <v>100</v>
      </c>
      <c r="C174" s="40">
        <v>38.04589</v>
      </c>
      <c r="D174" s="40">
        <v>-122.29007</v>
      </c>
      <c r="E174" s="40" t="s">
        <v>390</v>
      </c>
      <c r="F174" s="40" t="s">
        <v>102</v>
      </c>
      <c r="G174" s="40" t="s">
        <v>104</v>
      </c>
      <c r="H174" s="15">
        <v>0.44513888888888892</v>
      </c>
      <c r="I174" s="13" t="s">
        <v>71</v>
      </c>
      <c r="J174" s="13" t="s">
        <v>72</v>
      </c>
      <c r="K174" s="46" t="s">
        <v>222</v>
      </c>
      <c r="L174" s="13">
        <v>2</v>
      </c>
      <c r="M174" s="13">
        <v>10</v>
      </c>
      <c r="N174" s="13" t="s">
        <v>94</v>
      </c>
      <c r="O174" s="13">
        <v>17.5</v>
      </c>
      <c r="P174" s="13">
        <f>AVERAGE(21546,21775)</f>
        <v>21660.5</v>
      </c>
      <c r="Q174" s="13">
        <f>AVERAGE(25609,25890)</f>
        <v>25749.5</v>
      </c>
      <c r="R174" s="13">
        <f>AVERAGE(0.82,0.8)</f>
        <v>0.81</v>
      </c>
      <c r="S174" s="13">
        <f>AVERAGE(13.7,29.7)</f>
        <v>21.7</v>
      </c>
      <c r="T174" s="13">
        <f>AVERAGE(16.2,14.4)</f>
        <v>15.3</v>
      </c>
      <c r="U174" s="13" t="s">
        <v>13</v>
      </c>
      <c r="V174" s="18">
        <v>0</v>
      </c>
      <c r="W174" s="18" t="s">
        <v>13</v>
      </c>
      <c r="Y174" s="9" t="s">
        <v>175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Q20" sqref="Q20"/>
    </sheetView>
  </sheetViews>
  <sheetFormatPr defaultRowHeight="15" x14ac:dyDescent="0.25"/>
  <cols>
    <col min="1" max="1" width="22.7109375" style="1" customWidth="1"/>
    <col min="2" max="2" width="60.85546875" style="2" bestFit="1" customWidth="1"/>
    <col min="3" max="3" width="1.7109375" style="3" customWidth="1"/>
    <col min="4" max="4" width="27.5703125" bestFit="1" customWidth="1"/>
    <col min="5" max="5" width="15.42578125" style="1" bestFit="1" customWidth="1"/>
    <col min="6" max="6" width="2.5703125" style="3" customWidth="1"/>
    <col min="7" max="7" width="15.7109375" style="1" bestFit="1" customWidth="1"/>
    <col min="8" max="8" width="14.5703125" bestFit="1" customWidth="1"/>
    <col min="9" max="9" width="2.140625" style="3" customWidth="1"/>
    <col min="10" max="10" width="10.85546875" style="1" bestFit="1" customWidth="1"/>
    <col min="11" max="11" width="12.42578125" bestFit="1" customWidth="1"/>
    <col min="12" max="12" width="2.140625" style="3" customWidth="1"/>
    <col min="14" max="14" width="11.140625" bestFit="1" customWidth="1"/>
    <col min="15" max="15" width="2.140625" style="3" customWidth="1"/>
    <col min="16" max="16" width="10.140625" bestFit="1" customWidth="1"/>
    <col min="17" max="17" width="37.42578125" bestFit="1" customWidth="1"/>
  </cols>
  <sheetData>
    <row r="1" spans="1:17" x14ac:dyDescent="0.25">
      <c r="A1" s="4" t="s">
        <v>26</v>
      </c>
      <c r="B1" s="4" t="s">
        <v>20</v>
      </c>
      <c r="C1" s="5"/>
      <c r="D1" s="4" t="s">
        <v>27</v>
      </c>
      <c r="E1" s="4" t="s">
        <v>28</v>
      </c>
      <c r="F1" s="5"/>
      <c r="G1" s="4" t="s">
        <v>50</v>
      </c>
      <c r="H1" s="4" t="s">
        <v>20</v>
      </c>
      <c r="I1" s="5"/>
      <c r="J1" s="4" t="s">
        <v>57</v>
      </c>
      <c r="K1" s="4" t="s">
        <v>20</v>
      </c>
      <c r="L1" s="5"/>
      <c r="M1" s="4" t="s">
        <v>106</v>
      </c>
      <c r="N1" s="4" t="s">
        <v>20</v>
      </c>
      <c r="O1" s="5"/>
      <c r="P1" s="4" t="s">
        <v>174</v>
      </c>
      <c r="Q1" s="4" t="s">
        <v>20</v>
      </c>
    </row>
    <row r="2" spans="1:17" x14ac:dyDescent="0.25">
      <c r="A2" s="1">
        <v>1</v>
      </c>
      <c r="B2" s="2" t="s">
        <v>21</v>
      </c>
      <c r="D2" t="s">
        <v>29</v>
      </c>
      <c r="E2" s="1" t="s">
        <v>19</v>
      </c>
      <c r="G2" s="1" t="s">
        <v>51</v>
      </c>
      <c r="H2" t="s">
        <v>54</v>
      </c>
      <c r="J2" s="1">
        <v>1</v>
      </c>
      <c r="K2" t="s">
        <v>64</v>
      </c>
      <c r="M2" t="s">
        <v>107</v>
      </c>
      <c r="N2" t="s">
        <v>112</v>
      </c>
      <c r="P2" t="s">
        <v>176</v>
      </c>
      <c r="Q2" t="s">
        <v>179</v>
      </c>
    </row>
    <row r="3" spans="1:17" x14ac:dyDescent="0.25">
      <c r="A3" s="1">
        <v>2</v>
      </c>
      <c r="B3" s="2" t="s">
        <v>22</v>
      </c>
      <c r="D3" t="s">
        <v>30</v>
      </c>
      <c r="E3" s="1" t="s">
        <v>12</v>
      </c>
      <c r="G3" s="1" t="s">
        <v>52</v>
      </c>
      <c r="H3" t="s">
        <v>55</v>
      </c>
      <c r="J3" s="1">
        <v>2</v>
      </c>
      <c r="K3" t="s">
        <v>62</v>
      </c>
      <c r="M3" t="s">
        <v>108</v>
      </c>
      <c r="N3" t="s">
        <v>113</v>
      </c>
      <c r="P3" t="s">
        <v>177</v>
      </c>
      <c r="Q3" t="s">
        <v>180</v>
      </c>
    </row>
    <row r="4" spans="1:17" x14ac:dyDescent="0.25">
      <c r="A4" s="1">
        <v>3</v>
      </c>
      <c r="B4" s="2" t="s">
        <v>23</v>
      </c>
      <c r="D4" t="s">
        <v>31</v>
      </c>
      <c r="E4" s="1" t="s">
        <v>35</v>
      </c>
      <c r="G4" s="1" t="s">
        <v>53</v>
      </c>
      <c r="H4" t="s">
        <v>56</v>
      </c>
      <c r="J4" s="1">
        <v>3</v>
      </c>
      <c r="K4" t="s">
        <v>59</v>
      </c>
      <c r="M4" t="s">
        <v>109</v>
      </c>
      <c r="N4" t="s">
        <v>114</v>
      </c>
      <c r="P4" t="s">
        <v>178</v>
      </c>
      <c r="Q4" t="s">
        <v>181</v>
      </c>
    </row>
    <row r="5" spans="1:17" x14ac:dyDescent="0.25">
      <c r="A5" s="1">
        <v>4</v>
      </c>
      <c r="B5" s="2" t="s">
        <v>24</v>
      </c>
      <c r="D5" t="s">
        <v>32</v>
      </c>
      <c r="E5" s="1" t="s">
        <v>36</v>
      </c>
      <c r="G5" s="1" t="s">
        <v>13</v>
      </c>
      <c r="H5" t="s">
        <v>58</v>
      </c>
      <c r="J5" s="1">
        <v>4</v>
      </c>
      <c r="K5" t="s">
        <v>63</v>
      </c>
      <c r="M5" t="s">
        <v>110</v>
      </c>
      <c r="N5" t="s">
        <v>115</v>
      </c>
    </row>
    <row r="6" spans="1:17" x14ac:dyDescent="0.25">
      <c r="A6" s="6">
        <v>8</v>
      </c>
      <c r="B6" s="2" t="s">
        <v>25</v>
      </c>
      <c r="D6" t="s">
        <v>33</v>
      </c>
      <c r="E6" s="1" t="s">
        <v>37</v>
      </c>
      <c r="J6" s="1">
        <v>5</v>
      </c>
      <c r="K6" t="s">
        <v>60</v>
      </c>
      <c r="M6" t="s">
        <v>111</v>
      </c>
      <c r="N6" t="s">
        <v>116</v>
      </c>
    </row>
    <row r="7" spans="1:17" x14ac:dyDescent="0.25">
      <c r="A7" s="1">
        <v>9</v>
      </c>
      <c r="B7" s="2" t="s">
        <v>66</v>
      </c>
      <c r="D7" t="s">
        <v>34</v>
      </c>
      <c r="E7" s="1" t="s">
        <v>38</v>
      </c>
      <c r="J7" s="1">
        <v>6</v>
      </c>
      <c r="K7" t="s">
        <v>61</v>
      </c>
    </row>
    <row r="8" spans="1:17" x14ac:dyDescent="0.25">
      <c r="D8" t="s">
        <v>39</v>
      </c>
      <c r="E8" s="1" t="s">
        <v>40</v>
      </c>
      <c r="J8" s="1" t="s">
        <v>13</v>
      </c>
      <c r="K8" t="s">
        <v>58</v>
      </c>
    </row>
    <row r="9" spans="1:17" x14ac:dyDescent="0.25">
      <c r="D9" t="s">
        <v>41</v>
      </c>
      <c r="E9" s="1" t="s">
        <v>46</v>
      </c>
    </row>
    <row r="10" spans="1:17" x14ac:dyDescent="0.25">
      <c r="D10" t="s">
        <v>42</v>
      </c>
      <c r="E10" s="1" t="s">
        <v>47</v>
      </c>
    </row>
    <row r="11" spans="1:17" x14ac:dyDescent="0.25">
      <c r="D11" t="s">
        <v>43</v>
      </c>
      <c r="E11" s="1" t="s">
        <v>45</v>
      </c>
    </row>
    <row r="12" spans="1:17" x14ac:dyDescent="0.25">
      <c r="D12" t="s">
        <v>44</v>
      </c>
      <c r="E12" s="1" t="s">
        <v>14</v>
      </c>
    </row>
    <row r="13" spans="1:17" x14ac:dyDescent="0.25">
      <c r="D13" t="s">
        <v>49</v>
      </c>
      <c r="E13" s="1" t="s">
        <v>48</v>
      </c>
    </row>
    <row r="14" spans="1:17" x14ac:dyDescent="0.25">
      <c r="D14" s="2" t="s">
        <v>65</v>
      </c>
      <c r="E14" s="1" t="s">
        <v>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workbookViewId="0">
      <selection activeCell="S32" sqref="S32"/>
    </sheetView>
  </sheetViews>
  <sheetFormatPr defaultColWidth="9.140625" defaultRowHeight="15" x14ac:dyDescent="0.25"/>
  <cols>
    <col min="1" max="1" width="10.7109375" customWidth="1"/>
    <col min="2" max="2" width="25.85546875" customWidth="1"/>
    <col min="3" max="4" width="15.7109375" customWidth="1"/>
    <col min="5" max="5" width="12.28515625" bestFit="1" customWidth="1"/>
    <col min="6" max="6" width="10.42578125" customWidth="1"/>
    <col min="7" max="7" width="43.7109375" customWidth="1"/>
    <col min="8" max="8" width="10.42578125" customWidth="1"/>
    <col min="9" max="9" width="8.140625" customWidth="1"/>
    <col min="10" max="10" width="9.7109375" bestFit="1" customWidth="1"/>
    <col min="11" max="11" width="36.5703125" bestFit="1" customWidth="1"/>
    <col min="12" max="12" width="15.5703125" customWidth="1"/>
    <col min="13" max="13" width="13" customWidth="1"/>
    <col min="14" max="14" width="16" customWidth="1"/>
    <col min="15" max="15" width="31.7109375" customWidth="1"/>
    <col min="16" max="16" width="20.5703125" customWidth="1"/>
    <col min="17" max="17" width="23.5703125" customWidth="1"/>
    <col min="18" max="18" width="23.5703125" style="48" customWidth="1"/>
    <col min="19" max="19" width="27.140625" style="48" bestFit="1" customWidth="1"/>
    <col min="20" max="20" width="30.140625" style="48" bestFit="1" customWidth="1"/>
    <col min="21" max="21" width="11.28515625" customWidth="1"/>
    <col min="22" max="22" width="10.5703125" customWidth="1"/>
    <col min="23" max="23" width="14.7109375" bestFit="1" customWidth="1"/>
    <col min="24" max="24" width="105.85546875" bestFit="1" customWidth="1"/>
    <col min="25" max="25" width="11.28515625" customWidth="1"/>
  </cols>
  <sheetData>
    <row r="1" spans="1:25" s="21" customFormat="1" x14ac:dyDescent="0.25">
      <c r="A1" s="20" t="s">
        <v>150</v>
      </c>
      <c r="X1" s="19"/>
    </row>
    <row r="2" spans="1:25" s="39" customFormat="1" x14ac:dyDescent="0.25">
      <c r="A2" s="9" t="s">
        <v>3</v>
      </c>
      <c r="B2" s="39" t="s">
        <v>0</v>
      </c>
      <c r="C2" s="39" t="s">
        <v>11</v>
      </c>
      <c r="D2" s="39" t="s">
        <v>10</v>
      </c>
      <c r="E2" s="39" t="s">
        <v>15</v>
      </c>
      <c r="F2" s="39" t="s">
        <v>1</v>
      </c>
      <c r="G2" s="39" t="s">
        <v>2</v>
      </c>
      <c r="H2" s="9" t="s">
        <v>16</v>
      </c>
      <c r="I2" s="9" t="s">
        <v>4</v>
      </c>
      <c r="J2" s="9" t="s">
        <v>67</v>
      </c>
      <c r="K2" s="9" t="s">
        <v>223</v>
      </c>
      <c r="L2" s="9" t="s">
        <v>18</v>
      </c>
      <c r="M2" s="9" t="s">
        <v>5</v>
      </c>
      <c r="N2" s="9" t="s">
        <v>6</v>
      </c>
      <c r="O2" s="9" t="s">
        <v>136</v>
      </c>
      <c r="P2" s="9" t="s">
        <v>80</v>
      </c>
      <c r="Q2" s="9" t="s">
        <v>81</v>
      </c>
      <c r="R2" s="41" t="s">
        <v>351</v>
      </c>
      <c r="S2" s="41" t="s">
        <v>349</v>
      </c>
      <c r="T2" s="41" t="s">
        <v>350</v>
      </c>
      <c r="U2" s="48"/>
      <c r="V2" s="9" t="s">
        <v>8</v>
      </c>
      <c r="W2" s="9" t="s">
        <v>17</v>
      </c>
      <c r="X2" s="7" t="s">
        <v>9</v>
      </c>
      <c r="Y2" s="9" t="s">
        <v>174</v>
      </c>
    </row>
    <row r="3" spans="1:25" s="24" customFormat="1" x14ac:dyDescent="0.25">
      <c r="A3" s="23">
        <v>42843</v>
      </c>
      <c r="B3" s="24" t="s">
        <v>69</v>
      </c>
      <c r="C3" s="24">
        <v>38.081560000000003</v>
      </c>
      <c r="D3" s="24">
        <v>-121.57203</v>
      </c>
      <c r="E3" s="24" t="s">
        <v>68</v>
      </c>
      <c r="F3" s="24" t="s">
        <v>70</v>
      </c>
      <c r="G3" s="24" t="s">
        <v>140</v>
      </c>
      <c r="H3" s="25">
        <v>0.3576388888888889</v>
      </c>
      <c r="I3" s="26" t="s">
        <v>71</v>
      </c>
      <c r="J3" s="26" t="s">
        <v>72</v>
      </c>
      <c r="K3" s="26" t="s">
        <v>222</v>
      </c>
      <c r="L3" s="26">
        <v>2</v>
      </c>
      <c r="M3" s="26">
        <v>10</v>
      </c>
      <c r="N3" s="26" t="s">
        <v>73</v>
      </c>
      <c r="O3" s="26">
        <v>40.75</v>
      </c>
      <c r="P3" s="26">
        <f>AVERAGE(100.5,82.9)</f>
        <v>91.7</v>
      </c>
      <c r="Q3" s="26">
        <f>AVERAGE(87.4,83.6)</f>
        <v>85.5</v>
      </c>
      <c r="R3" s="26"/>
      <c r="S3" s="49">
        <v>19.035</v>
      </c>
      <c r="T3" s="49">
        <v>32.25</v>
      </c>
      <c r="U3" s="27" t="s">
        <v>13</v>
      </c>
      <c r="V3" s="28">
        <v>0</v>
      </c>
      <c r="W3" s="28" t="s">
        <v>13</v>
      </c>
      <c r="X3" s="27"/>
      <c r="Y3" s="28" t="s">
        <v>175</v>
      </c>
    </row>
    <row r="4" spans="1:25" s="24" customFormat="1" x14ac:dyDescent="0.25">
      <c r="A4" s="23">
        <v>42843</v>
      </c>
      <c r="B4" s="24" t="s">
        <v>69</v>
      </c>
      <c r="C4" s="24">
        <v>38.01717</v>
      </c>
      <c r="D4" s="24">
        <v>-121.57265</v>
      </c>
      <c r="E4" s="24" t="s">
        <v>74</v>
      </c>
      <c r="F4" s="24" t="s">
        <v>70</v>
      </c>
      <c r="G4" s="24" t="s">
        <v>75</v>
      </c>
      <c r="H4" s="29">
        <v>0.4368055555555555</v>
      </c>
      <c r="I4" s="27" t="s">
        <v>71</v>
      </c>
      <c r="J4" s="27" t="s">
        <v>72</v>
      </c>
      <c r="K4" s="27" t="s">
        <v>222</v>
      </c>
      <c r="L4" s="27">
        <v>2</v>
      </c>
      <c r="M4" s="27">
        <v>5</v>
      </c>
      <c r="N4" s="27" t="s">
        <v>73</v>
      </c>
      <c r="O4" s="26">
        <v>22</v>
      </c>
      <c r="P4" s="26">
        <f>AVERAGE(127.1,129.1)</f>
        <v>128.1</v>
      </c>
      <c r="Q4" s="26">
        <f>AVERAGE(126.8,128.8)</f>
        <v>127.80000000000001</v>
      </c>
      <c r="R4" s="26"/>
      <c r="S4" s="49">
        <v>7.7200000000000006</v>
      </c>
      <c r="T4" s="49">
        <v>15.72</v>
      </c>
      <c r="U4" s="27" t="s">
        <v>13</v>
      </c>
      <c r="V4" s="28">
        <v>0</v>
      </c>
      <c r="W4" s="28" t="s">
        <v>13</v>
      </c>
      <c r="X4" s="30" t="s">
        <v>76</v>
      </c>
      <c r="Y4" s="28" t="s">
        <v>175</v>
      </c>
    </row>
    <row r="5" spans="1:25" s="24" customFormat="1" x14ac:dyDescent="0.25">
      <c r="A5" s="23">
        <v>42843</v>
      </c>
      <c r="B5" s="24" t="s">
        <v>69</v>
      </c>
      <c r="C5" s="24">
        <v>38.0946</v>
      </c>
      <c r="D5" s="24">
        <v>-121.65094999999999</v>
      </c>
      <c r="E5" s="24" t="s">
        <v>77</v>
      </c>
      <c r="F5" s="24" t="s">
        <v>70</v>
      </c>
      <c r="G5" s="24" t="s">
        <v>78</v>
      </c>
      <c r="H5" s="29">
        <v>0.49236111111111108</v>
      </c>
      <c r="I5" s="27" t="s">
        <v>71</v>
      </c>
      <c r="J5" s="27" t="s">
        <v>72</v>
      </c>
      <c r="K5" s="26" t="s">
        <v>222</v>
      </c>
      <c r="L5" s="27">
        <v>2</v>
      </c>
      <c r="M5" s="27">
        <v>10</v>
      </c>
      <c r="N5" s="27" t="s">
        <v>73</v>
      </c>
      <c r="O5" s="26">
        <v>32.5</v>
      </c>
      <c r="P5" s="26">
        <f>AVERAGE(96,75.4)</f>
        <v>85.7</v>
      </c>
      <c r="Q5" s="26">
        <f>AVERAGE(97,96.4)</f>
        <v>96.7</v>
      </c>
      <c r="R5" s="26"/>
      <c r="S5" s="49">
        <v>8.9250000000000007</v>
      </c>
      <c r="T5" s="49">
        <v>11.16</v>
      </c>
      <c r="U5" s="27" t="s">
        <v>13</v>
      </c>
      <c r="V5" s="31">
        <v>0</v>
      </c>
      <c r="W5" s="31" t="s">
        <v>13</v>
      </c>
      <c r="X5" s="30"/>
      <c r="Y5" s="28" t="s">
        <v>175</v>
      </c>
    </row>
    <row r="6" spans="1:25" s="24" customFormat="1" x14ac:dyDescent="0.25">
      <c r="A6" s="23">
        <v>42843</v>
      </c>
      <c r="B6" s="24" t="s">
        <v>79</v>
      </c>
      <c r="C6" s="24">
        <v>38.068530000000003</v>
      </c>
      <c r="D6" s="24">
        <v>-121.98237</v>
      </c>
      <c r="E6" s="24" t="s">
        <v>82</v>
      </c>
      <c r="F6" s="24" t="s">
        <v>83</v>
      </c>
      <c r="G6" s="24" t="s">
        <v>84</v>
      </c>
      <c r="H6" s="29">
        <v>0.37083333333333335</v>
      </c>
      <c r="I6" s="27" t="s">
        <v>71</v>
      </c>
      <c r="J6" s="27" t="s">
        <v>72</v>
      </c>
      <c r="K6" s="27" t="s">
        <v>222</v>
      </c>
      <c r="L6" s="27">
        <v>2</v>
      </c>
      <c r="M6" s="27">
        <v>10</v>
      </c>
      <c r="N6" s="27" t="s">
        <v>73</v>
      </c>
      <c r="O6" s="26">
        <f>AVERAGE(21.1,20.6)</f>
        <v>20.85</v>
      </c>
      <c r="P6" s="26">
        <f>AVERAGE(107.4,109.9)</f>
        <v>108.65</v>
      </c>
      <c r="Q6" s="26">
        <f>AVERAGE(103.3,107)</f>
        <v>105.15</v>
      </c>
      <c r="R6" s="26"/>
      <c r="S6" s="49">
        <v>12</v>
      </c>
      <c r="T6" s="49">
        <v>23.200000000000003</v>
      </c>
      <c r="U6" s="27" t="s">
        <v>13</v>
      </c>
      <c r="V6" s="31">
        <v>0</v>
      </c>
      <c r="W6" s="31" t="s">
        <v>13</v>
      </c>
      <c r="X6" s="30"/>
      <c r="Y6" s="28" t="s">
        <v>175</v>
      </c>
    </row>
    <row r="7" spans="1:25" s="24" customFormat="1" x14ac:dyDescent="0.25">
      <c r="A7" s="23">
        <v>42843</v>
      </c>
      <c r="B7" s="24" t="s">
        <v>79</v>
      </c>
      <c r="C7" s="24">
        <v>38.136290000000002</v>
      </c>
      <c r="D7" s="24">
        <v>-122.06107</v>
      </c>
      <c r="E7" s="24" t="s">
        <v>85</v>
      </c>
      <c r="F7" s="24" t="s">
        <v>83</v>
      </c>
      <c r="G7" s="24" t="s">
        <v>86</v>
      </c>
      <c r="H7" s="29">
        <v>0.42499999999999999</v>
      </c>
      <c r="I7" s="27" t="s">
        <v>71</v>
      </c>
      <c r="J7" s="27" t="s">
        <v>72</v>
      </c>
      <c r="K7" s="26" t="s">
        <v>222</v>
      </c>
      <c r="L7" s="27">
        <v>2</v>
      </c>
      <c r="M7" s="27">
        <v>10</v>
      </c>
      <c r="N7" s="27" t="s">
        <v>73</v>
      </c>
      <c r="O7" s="27">
        <v>27.3</v>
      </c>
      <c r="P7" s="27">
        <f>AVERAGE(528,550)</f>
        <v>539</v>
      </c>
      <c r="Q7" s="26">
        <f>AVERAGE(601,629)</f>
        <v>615</v>
      </c>
      <c r="R7" s="26"/>
      <c r="S7" s="49">
        <v>43.8</v>
      </c>
      <c r="T7" s="49">
        <v>540.5</v>
      </c>
      <c r="U7" s="27" t="s">
        <v>13</v>
      </c>
      <c r="V7" s="31">
        <v>0</v>
      </c>
      <c r="W7" s="31" t="s">
        <v>13</v>
      </c>
      <c r="X7" s="30"/>
      <c r="Y7" s="28" t="s">
        <v>175</v>
      </c>
    </row>
    <row r="8" spans="1:25" s="24" customFormat="1" x14ac:dyDescent="0.25">
      <c r="A8" s="23">
        <v>42843</v>
      </c>
      <c r="B8" s="24" t="s">
        <v>79</v>
      </c>
      <c r="C8" s="24">
        <v>38.02704</v>
      </c>
      <c r="D8" s="24">
        <v>-121.83833</v>
      </c>
      <c r="E8" s="24" t="s">
        <v>87</v>
      </c>
      <c r="F8" s="24" t="s">
        <v>83</v>
      </c>
      <c r="G8" s="24" t="s">
        <v>88</v>
      </c>
      <c r="H8" s="29">
        <v>0.48888888888888887</v>
      </c>
      <c r="I8" s="27" t="s">
        <v>71</v>
      </c>
      <c r="J8" s="27" t="s">
        <v>72</v>
      </c>
      <c r="K8" s="27" t="s">
        <v>222</v>
      </c>
      <c r="L8" s="27">
        <v>2</v>
      </c>
      <c r="M8" s="27">
        <v>10</v>
      </c>
      <c r="N8" s="27" t="s">
        <v>73</v>
      </c>
      <c r="O8" s="27">
        <f>AVERAGE(33.7,30.3)</f>
        <v>32</v>
      </c>
      <c r="P8" s="27">
        <f>AVERAGE(114.2,117)</f>
        <v>115.6</v>
      </c>
      <c r="Q8" s="26">
        <f>AVERAGE(114.9,117.4)</f>
        <v>116.15</v>
      </c>
      <c r="R8" s="26"/>
      <c r="S8" s="49">
        <v>68.650000000000006</v>
      </c>
      <c r="T8" s="49">
        <v>24.700000000000003</v>
      </c>
      <c r="U8" s="27" t="s">
        <v>13</v>
      </c>
      <c r="V8" s="31">
        <v>0</v>
      </c>
      <c r="W8" s="31" t="s">
        <v>13</v>
      </c>
      <c r="X8" s="30"/>
      <c r="Y8" s="28" t="s">
        <v>175</v>
      </c>
    </row>
    <row r="9" spans="1:25" s="24" customFormat="1" x14ac:dyDescent="0.25">
      <c r="A9" s="23">
        <v>42844</v>
      </c>
      <c r="B9" s="24" t="s">
        <v>69</v>
      </c>
      <c r="C9" s="24">
        <v>37.976199999999999</v>
      </c>
      <c r="D9" s="24">
        <v>-121.59891</v>
      </c>
      <c r="E9" s="24" t="s">
        <v>89</v>
      </c>
      <c r="F9" s="24" t="s">
        <v>70</v>
      </c>
      <c r="G9" s="24" t="s">
        <v>90</v>
      </c>
      <c r="H9" s="29">
        <v>0.3354166666666667</v>
      </c>
      <c r="I9" s="27" t="s">
        <v>71</v>
      </c>
      <c r="J9" s="27" t="s">
        <v>72</v>
      </c>
      <c r="K9" s="26" t="s">
        <v>222</v>
      </c>
      <c r="L9" s="27">
        <v>2</v>
      </c>
      <c r="M9" s="27">
        <v>10</v>
      </c>
      <c r="N9" s="27" t="s">
        <v>73</v>
      </c>
      <c r="O9" s="27">
        <v>16</v>
      </c>
      <c r="P9" s="27">
        <f>AVERAGE(147.5,146.9)</f>
        <v>147.19999999999999</v>
      </c>
      <c r="Q9" s="26">
        <f>AVERAGE(150.7,146.8)</f>
        <v>148.75</v>
      </c>
      <c r="R9" s="49">
        <v>1.385</v>
      </c>
      <c r="S9" s="49">
        <v>6.8</v>
      </c>
      <c r="T9" s="49">
        <v>16.47</v>
      </c>
      <c r="U9" s="27" t="s">
        <v>13</v>
      </c>
      <c r="V9" s="31">
        <v>0</v>
      </c>
      <c r="W9" s="31" t="s">
        <v>13</v>
      </c>
      <c r="X9" s="30" t="s">
        <v>91</v>
      </c>
      <c r="Y9" s="28" t="s">
        <v>175</v>
      </c>
    </row>
    <row r="10" spans="1:25" s="24" customFormat="1" x14ac:dyDescent="0.25">
      <c r="A10" s="23">
        <v>42844</v>
      </c>
      <c r="B10" s="24" t="s">
        <v>69</v>
      </c>
      <c r="C10" s="24">
        <v>38.0809</v>
      </c>
      <c r="D10" s="24">
        <v>-121.44553999999999</v>
      </c>
      <c r="E10" s="24" t="s">
        <v>92</v>
      </c>
      <c r="F10" s="24" t="s">
        <v>70</v>
      </c>
      <c r="G10" s="24" t="s">
        <v>93</v>
      </c>
      <c r="H10" s="29">
        <v>0.42430555555555555</v>
      </c>
      <c r="I10" s="27" t="s">
        <v>71</v>
      </c>
      <c r="J10" s="27" t="s">
        <v>72</v>
      </c>
      <c r="K10" s="27" t="s">
        <v>222</v>
      </c>
      <c r="L10" s="27">
        <v>2</v>
      </c>
      <c r="M10" s="27">
        <v>10</v>
      </c>
      <c r="N10" s="27" t="s">
        <v>94</v>
      </c>
      <c r="O10" s="27">
        <v>15</v>
      </c>
      <c r="P10" s="27">
        <f>AVERAGE(99.7,100.9)</f>
        <v>100.30000000000001</v>
      </c>
      <c r="Q10" s="26">
        <f>AVERAGE(99.3,99.9)</f>
        <v>99.6</v>
      </c>
      <c r="R10" s="49">
        <v>1.8</v>
      </c>
      <c r="S10" s="49">
        <v>4.58</v>
      </c>
      <c r="T10" s="49">
        <v>10.51</v>
      </c>
      <c r="U10" s="27" t="s">
        <v>13</v>
      </c>
      <c r="V10" s="31">
        <v>0</v>
      </c>
      <c r="W10" s="31" t="s">
        <v>13</v>
      </c>
      <c r="X10" s="30"/>
      <c r="Y10" s="28" t="s">
        <v>175</v>
      </c>
    </row>
    <row r="11" spans="1:25" s="24" customFormat="1" x14ac:dyDescent="0.25">
      <c r="A11" s="23">
        <v>42844</v>
      </c>
      <c r="B11" s="24" t="s">
        <v>69</v>
      </c>
      <c r="C11" s="24">
        <v>37.952249999999999</v>
      </c>
      <c r="D11" s="24">
        <v>-121.53242</v>
      </c>
      <c r="E11" s="24" t="s">
        <v>95</v>
      </c>
      <c r="F11" s="24" t="s">
        <v>70</v>
      </c>
      <c r="G11" s="24" t="s">
        <v>96</v>
      </c>
      <c r="H11" s="29">
        <v>0.51041666666666663</v>
      </c>
      <c r="I11" s="27" t="s">
        <v>71</v>
      </c>
      <c r="J11" s="27" t="s">
        <v>72</v>
      </c>
      <c r="K11" s="26" t="s">
        <v>222</v>
      </c>
      <c r="L11" s="27">
        <v>2</v>
      </c>
      <c r="M11" s="27">
        <v>10</v>
      </c>
      <c r="N11" s="27" t="s">
        <v>73</v>
      </c>
      <c r="O11" s="27">
        <v>24</v>
      </c>
      <c r="P11" s="27">
        <f>AVERAGE(108.3,107.5)</f>
        <v>107.9</v>
      </c>
      <c r="Q11" s="26">
        <f>AVERAGE(113.2,109)</f>
        <v>111.1</v>
      </c>
      <c r="R11" s="49">
        <v>1.2749999999999999</v>
      </c>
      <c r="S11" s="49">
        <v>7.415</v>
      </c>
      <c r="T11" s="49">
        <v>10.14</v>
      </c>
      <c r="U11" s="27" t="s">
        <v>13</v>
      </c>
      <c r="V11" s="31">
        <v>0</v>
      </c>
      <c r="W11" s="31" t="s">
        <v>13</v>
      </c>
      <c r="X11" s="30"/>
      <c r="Y11" s="28" t="s">
        <v>175</v>
      </c>
    </row>
    <row r="12" spans="1:25" s="24" customFormat="1" x14ac:dyDescent="0.25">
      <c r="A12" s="23">
        <v>42844</v>
      </c>
      <c r="B12" s="24" t="s">
        <v>79</v>
      </c>
      <c r="C12" s="24">
        <v>38.026499999999999</v>
      </c>
      <c r="D12" s="24">
        <v>-121.74262</v>
      </c>
      <c r="E12" s="60" t="s">
        <v>352</v>
      </c>
      <c r="F12" s="24" t="s">
        <v>83</v>
      </c>
      <c r="G12" s="24" t="s">
        <v>88</v>
      </c>
      <c r="H12" s="29">
        <v>0.35972222222222222</v>
      </c>
      <c r="I12" s="27" t="s">
        <v>71</v>
      </c>
      <c r="J12" s="27" t="s">
        <v>72</v>
      </c>
      <c r="K12" s="27" t="s">
        <v>222</v>
      </c>
      <c r="L12" s="27">
        <v>2</v>
      </c>
      <c r="M12" s="27">
        <v>10</v>
      </c>
      <c r="N12" s="27" t="s">
        <v>94</v>
      </c>
      <c r="O12" s="27">
        <v>35</v>
      </c>
      <c r="P12" s="27">
        <f>AVERAGE(111.7,111.5)</f>
        <v>111.6</v>
      </c>
      <c r="Q12" s="26">
        <f>AVERAGE(109.7,109.7)</f>
        <v>109.7</v>
      </c>
      <c r="R12" s="49">
        <v>1.165</v>
      </c>
      <c r="S12" s="49">
        <v>8.6349999999999998</v>
      </c>
      <c r="T12" s="49">
        <v>10.355</v>
      </c>
      <c r="U12" s="27" t="s">
        <v>13</v>
      </c>
      <c r="V12" s="31">
        <v>0</v>
      </c>
      <c r="W12" s="31" t="s">
        <v>13</v>
      </c>
      <c r="X12" s="30"/>
      <c r="Y12" s="28" t="s">
        <v>175</v>
      </c>
    </row>
    <row r="13" spans="1:25" s="24" customFormat="1" x14ac:dyDescent="0.25">
      <c r="A13" s="23">
        <v>42844</v>
      </c>
      <c r="B13" s="24" t="s">
        <v>79</v>
      </c>
      <c r="C13" s="24">
        <v>38.071489999999997</v>
      </c>
      <c r="D13" s="24">
        <v>-121.9616</v>
      </c>
      <c r="E13" s="24" t="s">
        <v>97</v>
      </c>
      <c r="F13" s="24" t="s">
        <v>83</v>
      </c>
      <c r="G13" s="24" t="s">
        <v>98</v>
      </c>
      <c r="H13" s="29">
        <v>0.42569444444444443</v>
      </c>
      <c r="I13" s="27" t="s">
        <v>71</v>
      </c>
      <c r="J13" s="27" t="s">
        <v>72</v>
      </c>
      <c r="K13" s="26" t="s">
        <v>222</v>
      </c>
      <c r="L13" s="27">
        <v>2</v>
      </c>
      <c r="M13" s="27">
        <v>10</v>
      </c>
      <c r="N13" s="27" t="s">
        <v>73</v>
      </c>
      <c r="O13" s="27">
        <v>12</v>
      </c>
      <c r="P13" s="27">
        <f>AVERAGE(114.1,115.6)</f>
        <v>114.85</v>
      </c>
      <c r="Q13" s="26">
        <f>AVERAGE(117.1,114.9)</f>
        <v>116</v>
      </c>
      <c r="R13" s="50">
        <v>0.81</v>
      </c>
      <c r="S13" s="50">
        <v>12.2</v>
      </c>
      <c r="T13" s="50">
        <v>13.399999999999999</v>
      </c>
      <c r="U13" s="27" t="s">
        <v>13</v>
      </c>
      <c r="V13" s="31">
        <v>0</v>
      </c>
      <c r="W13" s="31" t="s">
        <v>13</v>
      </c>
      <c r="X13" s="30"/>
      <c r="Y13" s="28" t="s">
        <v>175</v>
      </c>
    </row>
    <row r="14" spans="1:25" s="24" customFormat="1" x14ac:dyDescent="0.25">
      <c r="A14" s="23">
        <v>42844</v>
      </c>
      <c r="B14" s="24" t="s">
        <v>79</v>
      </c>
      <c r="C14" s="24">
        <v>38.098030000000001</v>
      </c>
      <c r="D14" s="24">
        <v>-122.04846999999999</v>
      </c>
      <c r="E14" s="24" t="s">
        <v>99</v>
      </c>
      <c r="F14" s="24" t="s">
        <v>83</v>
      </c>
      <c r="G14" s="24" t="s">
        <v>84</v>
      </c>
      <c r="H14" s="29">
        <v>0.4770833333333333</v>
      </c>
      <c r="I14" s="27" t="s">
        <v>71</v>
      </c>
      <c r="J14" s="27" t="s">
        <v>72</v>
      </c>
      <c r="K14" s="27" t="s">
        <v>222</v>
      </c>
      <c r="L14" s="27">
        <v>2</v>
      </c>
      <c r="M14" s="27">
        <v>10</v>
      </c>
      <c r="N14" s="27" t="s">
        <v>73</v>
      </c>
      <c r="O14" s="27">
        <v>17</v>
      </c>
      <c r="P14" s="27">
        <f>AVERAGE(117.5,118.1)</f>
        <v>117.8</v>
      </c>
      <c r="Q14" s="26">
        <f>AVERAGE(124.2,120.7)</f>
        <v>122.45</v>
      </c>
      <c r="R14" s="50">
        <v>0.72499999999999998</v>
      </c>
      <c r="S14" s="50">
        <v>17.8</v>
      </c>
      <c r="T14" s="50">
        <v>19.8</v>
      </c>
      <c r="U14" s="27" t="s">
        <v>13</v>
      </c>
      <c r="V14" s="31">
        <v>0</v>
      </c>
      <c r="W14" s="31" t="s">
        <v>13</v>
      </c>
      <c r="X14" s="30"/>
      <c r="Y14" s="28" t="s">
        <v>175</v>
      </c>
    </row>
    <row r="15" spans="1:25" s="24" customFormat="1" x14ac:dyDescent="0.25">
      <c r="A15" s="23">
        <v>42845</v>
      </c>
      <c r="B15" s="24" t="s">
        <v>100</v>
      </c>
      <c r="C15" s="24">
        <v>38.037329999999997</v>
      </c>
      <c r="D15" s="24">
        <v>-122.32307</v>
      </c>
      <c r="E15" s="24" t="s">
        <v>101</v>
      </c>
      <c r="F15" s="24" t="s">
        <v>102</v>
      </c>
      <c r="G15" s="24" t="s">
        <v>104</v>
      </c>
      <c r="H15" s="29">
        <v>0.38680555555555557</v>
      </c>
      <c r="I15" s="27" t="s">
        <v>71</v>
      </c>
      <c r="J15" s="27" t="s">
        <v>72</v>
      </c>
      <c r="K15" s="26" t="s">
        <v>222</v>
      </c>
      <c r="L15" s="27">
        <v>2</v>
      </c>
      <c r="M15" s="27">
        <v>10</v>
      </c>
      <c r="N15" s="27" t="s">
        <v>73</v>
      </c>
      <c r="O15" s="27">
        <f>AVERAGE(20,20)</f>
        <v>20</v>
      </c>
      <c r="P15" s="27">
        <f>AVERAGE(4473,4408)</f>
        <v>4440.5</v>
      </c>
      <c r="Q15" s="26">
        <f>AVERAGE(14321,14531)</f>
        <v>14426</v>
      </c>
      <c r="R15" s="50">
        <v>0.81499999999999995</v>
      </c>
      <c r="S15" s="50">
        <v>13</v>
      </c>
      <c r="T15" s="50">
        <v>26.7</v>
      </c>
      <c r="U15" s="27" t="s">
        <v>13</v>
      </c>
      <c r="V15" s="31">
        <v>0</v>
      </c>
      <c r="W15" s="31" t="s">
        <v>13</v>
      </c>
      <c r="X15" s="30"/>
      <c r="Y15" s="28" t="s">
        <v>175</v>
      </c>
    </row>
    <row r="16" spans="1:25" s="24" customFormat="1" x14ac:dyDescent="0.25">
      <c r="A16" s="23">
        <v>42845</v>
      </c>
      <c r="B16" s="24" t="s">
        <v>100</v>
      </c>
      <c r="C16" s="24">
        <v>38.051940000000002</v>
      </c>
      <c r="D16" s="24">
        <v>-122.18272</v>
      </c>
      <c r="E16" s="24" t="s">
        <v>103</v>
      </c>
      <c r="F16" s="24" t="s">
        <v>102</v>
      </c>
      <c r="G16" s="24" t="s">
        <v>105</v>
      </c>
      <c r="H16" s="29">
        <v>0.43888888888888888</v>
      </c>
      <c r="I16" s="27" t="s">
        <v>71</v>
      </c>
      <c r="J16" s="27" t="s">
        <v>72</v>
      </c>
      <c r="K16" s="27" t="s">
        <v>222</v>
      </c>
      <c r="L16" s="27">
        <v>2</v>
      </c>
      <c r="M16" s="27">
        <v>10</v>
      </c>
      <c r="N16" s="27" t="s">
        <v>73</v>
      </c>
      <c r="O16" s="27">
        <f>AVERAGE(65,65)</f>
        <v>65</v>
      </c>
      <c r="P16" s="27">
        <f>AVERAGE(658,319.4)</f>
        <v>488.7</v>
      </c>
      <c r="Q16" s="26">
        <f>AVERAGE(18526,18760)</f>
        <v>18643</v>
      </c>
      <c r="R16" s="50">
        <v>0.64</v>
      </c>
      <c r="S16" s="50">
        <v>14.05</v>
      </c>
      <c r="T16" s="50">
        <v>60.85</v>
      </c>
      <c r="U16" s="27" t="s">
        <v>45</v>
      </c>
      <c r="V16" s="28">
        <v>6</v>
      </c>
      <c r="W16" s="28" t="s">
        <v>118</v>
      </c>
      <c r="X16" s="30"/>
      <c r="Y16" s="28" t="s">
        <v>175</v>
      </c>
    </row>
    <row r="17" spans="1:28" s="24" customFormat="1" x14ac:dyDescent="0.25">
      <c r="A17" s="23">
        <v>42845</v>
      </c>
      <c r="B17" s="24" t="s">
        <v>100</v>
      </c>
      <c r="C17" s="24">
        <v>38.051940000000002</v>
      </c>
      <c r="D17" s="24">
        <v>-122.18272</v>
      </c>
      <c r="E17" s="24" t="s">
        <v>103</v>
      </c>
      <c r="F17" s="24" t="s">
        <v>102</v>
      </c>
      <c r="G17" s="24" t="s">
        <v>105</v>
      </c>
      <c r="H17" s="29"/>
      <c r="I17" s="27"/>
      <c r="J17" s="27"/>
      <c r="K17" s="27"/>
      <c r="L17" s="27"/>
      <c r="M17" s="27"/>
      <c r="N17" s="27"/>
      <c r="O17" s="27"/>
      <c r="P17" s="27"/>
      <c r="Q17" s="27"/>
      <c r="R17" s="27"/>
      <c r="S17" s="27"/>
      <c r="T17" s="27"/>
      <c r="U17" s="27" t="s">
        <v>14</v>
      </c>
      <c r="V17" s="28">
        <v>1</v>
      </c>
      <c r="W17" s="28">
        <v>20</v>
      </c>
      <c r="X17" s="30"/>
      <c r="Y17" s="28" t="s">
        <v>175</v>
      </c>
    </row>
    <row r="18" spans="1:28" s="24" customFormat="1" x14ac:dyDescent="0.25">
      <c r="A18" s="23">
        <v>42845</v>
      </c>
      <c r="B18" s="24" t="s">
        <v>100</v>
      </c>
      <c r="C18" s="24">
        <v>38.061579999999999</v>
      </c>
      <c r="D18" s="24">
        <v>-122.3198</v>
      </c>
      <c r="E18" s="24" t="s">
        <v>117</v>
      </c>
      <c r="F18" s="24" t="s">
        <v>102</v>
      </c>
      <c r="G18" s="24" t="s">
        <v>104</v>
      </c>
      <c r="H18" s="29">
        <v>0.49722222222222223</v>
      </c>
      <c r="I18" s="27" t="s">
        <v>71</v>
      </c>
      <c r="J18" s="27" t="s">
        <v>72</v>
      </c>
      <c r="K18" s="27" t="s">
        <v>222</v>
      </c>
      <c r="L18" s="27">
        <v>2</v>
      </c>
      <c r="M18" s="27">
        <v>10</v>
      </c>
      <c r="N18" s="27" t="s">
        <v>73</v>
      </c>
      <c r="O18" s="27">
        <f>AVERAGE(10,10)</f>
        <v>10</v>
      </c>
      <c r="P18" s="27">
        <f>AVERAGE(6463,5607)</f>
        <v>6035</v>
      </c>
      <c r="Q18" s="26">
        <f>AVERAGE(8734,5193)</f>
        <v>6963.5</v>
      </c>
      <c r="R18" s="50">
        <v>0.44500000000000001</v>
      </c>
      <c r="S18" s="50">
        <v>24.35</v>
      </c>
      <c r="T18" s="50">
        <v>49.2</v>
      </c>
      <c r="U18" s="52" t="s">
        <v>45</v>
      </c>
      <c r="V18" s="53">
        <v>10</v>
      </c>
      <c r="W18" s="53" t="s">
        <v>182</v>
      </c>
      <c r="X18" s="30"/>
      <c r="Y18" s="28" t="s">
        <v>175</v>
      </c>
    </row>
    <row r="19" spans="1:28" s="24" customFormat="1" x14ac:dyDescent="0.25">
      <c r="A19" s="23">
        <v>42845</v>
      </c>
      <c r="B19" s="24" t="s">
        <v>124</v>
      </c>
      <c r="C19" s="24">
        <v>38.451610000000002</v>
      </c>
      <c r="D19" s="24">
        <v>-121.5014</v>
      </c>
      <c r="E19" s="24" t="s">
        <v>119</v>
      </c>
      <c r="F19" s="24" t="s">
        <v>120</v>
      </c>
      <c r="G19" s="24" t="s">
        <v>121</v>
      </c>
      <c r="H19" s="29">
        <v>0.44861111111111113</v>
      </c>
      <c r="I19" s="27" t="s">
        <v>71</v>
      </c>
      <c r="J19" s="27" t="s">
        <v>72</v>
      </c>
      <c r="K19" s="27" t="s">
        <v>222</v>
      </c>
      <c r="L19" s="27">
        <v>3</v>
      </c>
      <c r="M19" s="27">
        <v>2.5</v>
      </c>
      <c r="N19" s="27" t="s">
        <v>73</v>
      </c>
      <c r="O19" s="27">
        <v>35</v>
      </c>
      <c r="P19" s="27">
        <f>AVERAGE(65.8,66.8,69.5)</f>
        <v>67.36666666666666</v>
      </c>
      <c r="Q19" s="26">
        <f>AVERAGE(67.5,68.1,70.9)</f>
        <v>68.833333333333329</v>
      </c>
      <c r="R19" s="51">
        <v>0.52333333333333332</v>
      </c>
      <c r="S19" s="51">
        <v>22.633333333333336</v>
      </c>
      <c r="T19" s="51">
        <v>24.033333333333331</v>
      </c>
      <c r="U19" s="27" t="s">
        <v>13</v>
      </c>
      <c r="V19" s="31">
        <v>0</v>
      </c>
      <c r="W19" s="31" t="s">
        <v>13</v>
      </c>
      <c r="X19" s="30" t="s">
        <v>125</v>
      </c>
      <c r="Y19" s="31" t="s">
        <v>175</v>
      </c>
    </row>
    <row r="20" spans="1:28" s="24" customFormat="1" x14ac:dyDescent="0.25">
      <c r="A20" s="23">
        <v>42845</v>
      </c>
      <c r="B20" s="24" t="s">
        <v>124</v>
      </c>
      <c r="C20" s="24">
        <v>38.4514</v>
      </c>
      <c r="D20" s="24">
        <v>-121.5014</v>
      </c>
      <c r="E20" s="24" t="s">
        <v>123</v>
      </c>
      <c r="F20" s="24" t="s">
        <v>120</v>
      </c>
      <c r="G20" s="24" t="s">
        <v>121</v>
      </c>
      <c r="H20" s="29">
        <v>0.52013888888888882</v>
      </c>
      <c r="I20" s="27" t="s">
        <v>71</v>
      </c>
      <c r="J20" s="27" t="s">
        <v>72</v>
      </c>
      <c r="K20" s="27" t="s">
        <v>222</v>
      </c>
      <c r="L20" s="27">
        <v>3</v>
      </c>
      <c r="M20" s="27">
        <v>5</v>
      </c>
      <c r="N20" s="27" t="s">
        <v>73</v>
      </c>
      <c r="O20" s="27">
        <v>28</v>
      </c>
      <c r="P20" s="27">
        <f>AVERAGE(66.5,66.6,66.6)</f>
        <v>66.566666666666663</v>
      </c>
      <c r="Q20" s="26">
        <f>AVERAGE(68.7,66.8,69.1)</f>
        <v>68.2</v>
      </c>
      <c r="R20" s="51">
        <v>0.47666666666666663</v>
      </c>
      <c r="S20" s="51">
        <v>26.633333333333336</v>
      </c>
      <c r="T20" s="51">
        <v>22.400000000000002</v>
      </c>
      <c r="U20" s="27" t="s">
        <v>13</v>
      </c>
      <c r="V20" s="31">
        <v>0</v>
      </c>
      <c r="W20" s="31" t="s">
        <v>13</v>
      </c>
      <c r="X20" s="30" t="s">
        <v>137</v>
      </c>
      <c r="Y20" s="31" t="s">
        <v>175</v>
      </c>
    </row>
    <row r="21" spans="1:28" s="33" customFormat="1" ht="15.75" thickBot="1" x14ac:dyDescent="0.3">
      <c r="A21" s="32">
        <v>42845</v>
      </c>
      <c r="B21" s="33" t="s">
        <v>124</v>
      </c>
      <c r="C21" s="33">
        <v>38.182569999999998</v>
      </c>
      <c r="D21" s="33">
        <v>-121.52697000000001</v>
      </c>
      <c r="E21" s="33" t="s">
        <v>126</v>
      </c>
      <c r="F21" s="33" t="s">
        <v>70</v>
      </c>
      <c r="G21" s="33" t="s">
        <v>127</v>
      </c>
      <c r="H21" s="34">
        <v>0.63124999999999998</v>
      </c>
      <c r="I21" s="35" t="s">
        <v>71</v>
      </c>
      <c r="J21" s="35" t="s">
        <v>72</v>
      </c>
      <c r="K21" s="35" t="s">
        <v>222</v>
      </c>
      <c r="L21" s="35">
        <v>2</v>
      </c>
      <c r="M21" s="35">
        <v>10</v>
      </c>
      <c r="N21" s="35" t="s">
        <v>73</v>
      </c>
      <c r="O21" s="35">
        <v>20</v>
      </c>
      <c r="P21" s="35">
        <f>AVERAGE(72.9,74.8)</f>
        <v>73.849999999999994</v>
      </c>
      <c r="Q21" s="36">
        <f>AVERAGE(74.3,75.2)</f>
        <v>74.75</v>
      </c>
      <c r="R21" s="54">
        <v>0.60499999999999998</v>
      </c>
      <c r="S21" s="54">
        <v>16.600000000000001</v>
      </c>
      <c r="T21" s="54">
        <v>16.149999999999999</v>
      </c>
      <c r="U21" s="35" t="s">
        <v>13</v>
      </c>
      <c r="V21" s="37">
        <v>0</v>
      </c>
      <c r="W21" s="37" t="s">
        <v>13</v>
      </c>
      <c r="X21" s="38"/>
      <c r="Y21" s="37" t="s">
        <v>175</v>
      </c>
    </row>
    <row r="24" spans="1:28" x14ac:dyDescent="0.25">
      <c r="Z24" s="9"/>
      <c r="AA24" s="9"/>
      <c r="AB24"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20mm_EDSM</vt:lpstr>
      <vt:lpstr>Key</vt:lpstr>
      <vt:lpstr>20mm_EDSMGearTest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Speegle, Jonathan</dc:creator>
  <cp:lastModifiedBy>34 North</cp:lastModifiedBy>
  <cp:lastPrinted>2017-02-11T00:27:10Z</cp:lastPrinted>
  <dcterms:created xsi:type="dcterms:W3CDTF">2016-12-09T23:00:06Z</dcterms:created>
  <dcterms:modified xsi:type="dcterms:W3CDTF">2017-06-23T16:48:49Z</dcterms:modified>
</cp:coreProperties>
</file>